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nnahmen" sheetId="2" state="visible" r:id="rId2"/>
    <sheet xmlns:r="http://schemas.openxmlformats.org/officeDocument/2006/relationships" name="Modell" sheetId="3" state="visible" r:id="rId3"/>
    <sheet xmlns:r="http://schemas.openxmlformats.org/officeDocument/2006/relationships" name="Sensitivität" sheetId="4" state="visible" r:id="rId4"/>
    <sheet xmlns:r="http://schemas.openxmlformats.org/officeDocument/2006/relationships" name="Vergleich" sheetId="5" state="visible" r:id="rId5"/>
    <sheet xmlns:r="http://schemas.openxmlformats.org/officeDocument/2006/relationships" name="Quellen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#,##0;\(#,##0\);\-"/>
    <numFmt numFmtId="165" formatCode="#,##0.0;\(#,##0.0\);\-"/>
    <numFmt numFmtId="166" formatCode="0.0%"/>
  </numFmts>
  <fonts count="1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03399"/>
      <sz val="14"/>
    </font>
    <font>
      <name val="Arial"/>
      <charset val="1"/>
      <family val="0"/>
      <i val="1"/>
      <color rgb="FF666666"/>
      <sz val="8"/>
    </font>
    <font>
      <name val="Arial"/>
      <charset val="1"/>
      <family val="0"/>
      <b val="1"/>
      <color rgb="FF003399"/>
      <sz val="11"/>
    </font>
    <font>
      <name val="Arial"/>
      <charset val="1"/>
      <family val="0"/>
      <color rgb="FF000000"/>
      <sz val="10"/>
    </font>
    <font>
      <name val="Arial"/>
      <charset val="1"/>
      <family val="0"/>
      <b val="1"/>
      <sz val="10"/>
    </font>
    <font>
      <name val="Arial"/>
      <charset val="1"/>
      <family val="0"/>
      <color rgb="FF0000FF"/>
      <sz val="10"/>
    </font>
    <font>
      <name val="Arial"/>
      <charset val="1"/>
      <family val="0"/>
      <color rgb="FF008000"/>
      <sz val="10"/>
    </font>
    <font>
      <name val="Arial"/>
      <charset val="1"/>
      <family val="0"/>
      <b val="1"/>
      <color rgb="FFFFFFFF"/>
      <sz val="10"/>
    </font>
    <font>
      <name val="Calibri"/>
      <family val="2"/>
      <b val="1"/>
      <color rgb="FF000000"/>
      <sz val="18"/>
    </font>
    <font>
      <name val="Calibri"/>
      <family val="2"/>
      <color rgb="FF000000"/>
      <sz val="10"/>
    </font>
  </fonts>
  <fills count="5">
    <fill>
      <patternFill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3399"/>
        <bgColor rgb="FF333399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general" vertical="bottom"/>
    </xf>
    <xf numFmtId="164" fontId="10" fillId="0" borderId="0" applyAlignment="1" pivotButton="0" quotePrefix="0" xfId="0">
      <alignment horizontal="general" vertical="bottom"/>
    </xf>
    <xf numFmtId="165" fontId="10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165" fontId="9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166" fontId="9" fillId="0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10" fontId="9" fillId="2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164" fontId="5" fillId="0" borderId="0" applyAlignment="1" pivotButton="0" quotePrefix="0" xfId="0">
      <alignment horizontal="center" vertical="bottom"/>
    </xf>
    <xf numFmtId="10" fontId="7" fillId="0" borderId="0" applyAlignment="1" pivotButton="0" quotePrefix="0" xfId="0">
      <alignment horizontal="general" vertical="bottom"/>
    </xf>
    <xf numFmtId="165" fontId="7" fillId="4" borderId="0" applyAlignment="1" pivotButton="0" quotePrefix="0" xfId="0">
      <alignment horizontal="general" vertical="bottom"/>
    </xf>
    <xf numFmtId="164" fontId="7" fillId="4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164" fontId="11" fillId="3" borderId="0" applyAlignment="1" pivotButton="0" quotePrefix="0" xfId="0">
      <alignment horizontal="center" vertical="bottom"/>
    </xf>
    <xf numFmtId="164" fontId="7" fillId="0" borderId="1" applyAlignment="1" pivotButton="0" quotePrefix="0" xfId="0">
      <alignment horizontal="general" vertical="bottom"/>
    </xf>
    <xf numFmtId="164" fontId="7" fillId="4" borderId="1" applyAlignment="1" pivotButton="0" quotePrefix="0" xfId="0">
      <alignment horizontal="general" vertical="bottom"/>
    </xf>
    <xf numFmtId="166" fontId="11" fillId="3" borderId="0" applyAlignment="1" pivotButton="0" quotePrefix="0" xfId="0">
      <alignment horizontal="center" vertical="bottom"/>
    </xf>
    <xf numFmtId="165" fontId="7" fillId="0" borderId="1" applyAlignment="1" pivotButton="0" quotePrefix="0" xfId="0">
      <alignment horizontal="general" vertical="bottom"/>
    </xf>
    <xf numFmtId="165" fontId="7" fillId="4" borderId="1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top" wrapText="1"/>
    </xf>
    <xf numFmtId="0" fontId="7" fillId="0" borderId="1" applyAlignment="1" pivotButton="0" quotePrefix="0" xfId="0">
      <alignment horizontal="right" vertical="top" wrapText="1"/>
    </xf>
    <xf numFmtId="0" fontId="5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164" fontId="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general" vertical="bottom"/>
    </xf>
    <xf numFmtId="164" fontId="10" fillId="0" borderId="0" applyAlignment="1" pivotButton="0" quotePrefix="0" xfId="0">
      <alignment horizontal="general" vertical="bottom"/>
    </xf>
    <xf numFmtId="165" fontId="10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165" fontId="9" fillId="0" borderId="0" applyAlignment="1" pivotButton="0" quotePrefix="0" xfId="0">
      <alignment horizontal="general" vertical="bottom"/>
    </xf>
    <xf numFmtId="166" fontId="9" fillId="0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10" fontId="9" fillId="2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164" fontId="5" fillId="0" borderId="0" applyAlignment="1" pivotButton="0" quotePrefix="0" xfId="0">
      <alignment horizontal="center" vertical="bottom"/>
    </xf>
    <xf numFmtId="10" fontId="7" fillId="0" borderId="0" applyAlignment="1" pivotButton="0" quotePrefix="0" xfId="0">
      <alignment horizontal="general" vertical="bottom"/>
    </xf>
    <xf numFmtId="165" fontId="7" fillId="4" borderId="0" applyAlignment="1" pivotButton="0" quotePrefix="0" xfId="0">
      <alignment horizontal="general" vertical="bottom"/>
    </xf>
    <xf numFmtId="164" fontId="7" fillId="4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164" fontId="11" fillId="3" borderId="0" applyAlignment="1" pivotButton="0" quotePrefix="0" xfId="0">
      <alignment horizontal="center" vertical="bottom"/>
    </xf>
    <xf numFmtId="164" fontId="7" fillId="0" borderId="1" applyAlignment="1" pivotButton="0" quotePrefix="0" xfId="0">
      <alignment horizontal="general" vertical="bottom"/>
    </xf>
    <xf numFmtId="164" fontId="7" fillId="4" borderId="1" applyAlignment="1" pivotButton="0" quotePrefix="0" xfId="0">
      <alignment horizontal="general" vertical="bottom"/>
    </xf>
    <xf numFmtId="166" fontId="11" fillId="3" borderId="0" applyAlignment="1" pivotButton="0" quotePrefix="0" xfId="0">
      <alignment horizontal="center" vertical="bottom"/>
    </xf>
    <xf numFmtId="165" fontId="7" fillId="0" borderId="1" applyAlignment="1" pivotButton="0" quotePrefix="0" xfId="0">
      <alignment horizontal="general" vertical="bottom"/>
    </xf>
    <xf numFmtId="165" fontId="7" fillId="4" borderId="1" applyAlignment="1" pivotButton="0" quotePrefix="0" xfId="0">
      <alignment horizontal="general" vertical="bottom"/>
    </xf>
    <xf numFmtId="166" fontId="0" fillId="0" borderId="0" pivotButton="0" quotePrefix="0" xfId="0"/>
    <xf numFmtId="164" fontId="0" fillId="0" borderId="0" pivotButton="0" quotePrefix="0" xfId="0"/>
    <xf numFmtId="0" fontId="7" fillId="0" borderId="1" applyAlignment="1" pivotButton="0" quotePrefix="0" xfId="0">
      <alignment horizontal="general" vertical="top" wrapText="1"/>
    </xf>
    <xf numFmtId="0" fontId="7" fillId="0" borderId="1" applyAlignment="1" pivotButton="0" quotePrefix="0" xfId="0">
      <alignment horizontal="right" vertical="top" wrapText="1"/>
    </xf>
    <xf numFmtId="0" fontId="5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164" fontId="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78787"/>
      <rgbColor rgb="FF9999FF"/>
      <rgbColor rgb="FFAA433F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CC8F8E"/>
      <rgbColor rgb="FF00339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Fondsvermögen und VC-Zielallokation (Mrd. €)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tx>
            <strRef>
              <f>Modell!B11</f>
              <strCache>
                <ptCount val="1"/>
                <pt idx="0">
                  <v>None</v>
                </pt>
              </strCache>
            </strRef>
          </tx>
          <spPr>
            <a:solidFill xmlns:a="http://schemas.openxmlformats.org/drawingml/2006/main">
              <a:srgbClr val="aa433f"/>
            </a:solidFill>
            <a:ln xmlns:a="http://schemas.openxmlformats.org/drawingml/2006/main" w="47520">
              <a:solidFill>
                <a:srgbClr val="aa433f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latin typeface="Arial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Modell!$C$4:$AA$4</f>
              <strCache>
                <ptCount val="25"/>
                <pt idx="0">
                  <v>2028</v>
                </pt>
                <pt idx="1">
                  <v>2029</v>
                </pt>
                <pt idx="2">
                  <v>2030</v>
                </pt>
                <pt idx="3">
                  <v>2031</v>
                </pt>
                <pt idx="4">
                  <v>2032</v>
                </pt>
                <pt idx="5">
                  <v>2033</v>
                </pt>
                <pt idx="6">
                  <v>2034</v>
                </pt>
                <pt idx="7">
                  <v>2035</v>
                </pt>
                <pt idx="8">
                  <v>2036</v>
                </pt>
                <pt idx="9">
                  <v>2037</v>
                </pt>
                <pt idx="10">
                  <v>2038</v>
                </pt>
                <pt idx="11">
                  <v>2039</v>
                </pt>
                <pt idx="12">
                  <v>2040</v>
                </pt>
                <pt idx="13">
                  <v>2041</v>
                </pt>
                <pt idx="14">
                  <v>2042</v>
                </pt>
                <pt idx="15">
                  <v>2043</v>
                </pt>
                <pt idx="16">
                  <v>2044</v>
                </pt>
                <pt idx="17">
                  <v>2045</v>
                </pt>
                <pt idx="18">
                  <v>2046</v>
                </pt>
                <pt idx="19">
                  <v>2047</v>
                </pt>
                <pt idx="20">
                  <v>2048</v>
                </pt>
                <pt idx="21">
                  <v>2049</v>
                </pt>
                <pt idx="22">
                  <v>2050</v>
                </pt>
                <pt idx="23">
                  <v>2051</v>
                </pt>
                <pt idx="24">
                  <v>2052</v>
                </pt>
              </strCache>
            </strRef>
          </cat>
          <val>
            <numRef>
              <f>Modell!$C$11:$AA$11</f>
              <numCache>
                <formatCode>#,##0;\(#,##0\);\-</formatCode>
                <ptCount val="25"/>
                <pt idx="0">
                  <v>9.27627274344461</v>
                </pt>
                <pt idx="1">
                  <v>28.89558959583</v>
                </pt>
                <pt idx="2">
                  <v>60.0084402841618</v>
                </pt>
                <pt idx="3">
                  <v>103.854639244295</v>
                </pt>
                <pt idx="4">
                  <v>151.32875118957</v>
                </pt>
                <pt idx="5">
                  <v>202.666802495441</v>
                </pt>
                <pt idx="6">
                  <v>258.118895722847</v>
                </pt>
                <pt idx="7">
                  <v>317.950016650466</v>
                </pt>
                <pt idx="8">
                  <v>382.44088667899</v>
                </pt>
                <pt idx="9">
                  <v>451.888863132465</v>
                </pt>
                <pt idx="10">
                  <v>526.6088901214659</v>
                </pt>
                <pt idx="11">
                  <v>606.934502780362</v>
                </pt>
                <pt idx="12">
                  <v>693.2188878465651</v>
                </pt>
                <pt idx="13">
                  <v>785.836003713807</v>
                </pt>
                <pt idx="14">
                  <v>885.1817632648171</v>
                </pt>
                <pt idx="15">
                  <v>991.675282971536</v>
                </pt>
                <pt idx="16">
                  <v>1105.76020194394</v>
                </pt>
                <pt idx="17">
                  <v>1227.90607481209</v>
                </pt>
                <pt idx="18">
                  <v>1358.60984254083</v>
                </pt>
                <pt idx="19">
                  <v>1498.39738550308</v>
                </pt>
                <pt idx="20">
                  <v>1647.82516337692</v>
                </pt>
                <pt idx="21">
                  <v>1807.48194668395</v>
                </pt>
                <pt idx="22">
                  <v>1977.99064505252</v>
                </pt>
                <pt idx="23">
                  <v>2160.01023757038</v>
                </pt>
                <pt idx="24">
                  <v>2354.23781088793</v>
                </pt>
              </numCache>
            </numRef>
          </val>
          <smooth val="1"/>
        </ser>
        <ser>
          <idx val="1"/>
          <order val="1"/>
          <tx>
            <strRef>
              <f>Modell!B15</f>
              <strCache>
                <ptCount val="1"/>
                <pt idx="0">
                  <v>None</v>
                </pt>
              </strCache>
            </strRef>
          </tx>
          <spPr>
            <a:solidFill xmlns:a="http://schemas.openxmlformats.org/drawingml/2006/main">
              <a:srgbClr val="cc8f8e"/>
            </a:solidFill>
            <a:ln xmlns:a="http://schemas.openxmlformats.org/drawingml/2006/main" w="47520">
              <a:solidFill>
                <a:srgbClr val="cc8f8e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latin typeface="Arial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Modell!$C$4:$AA$4</f>
              <strCache>
                <ptCount val="25"/>
                <pt idx="0">
                  <v>2028</v>
                </pt>
                <pt idx="1">
                  <v>2029</v>
                </pt>
                <pt idx="2">
                  <v>2030</v>
                </pt>
                <pt idx="3">
                  <v>2031</v>
                </pt>
                <pt idx="4">
                  <v>2032</v>
                </pt>
                <pt idx="5">
                  <v>2033</v>
                </pt>
                <pt idx="6">
                  <v>2034</v>
                </pt>
                <pt idx="7">
                  <v>2035</v>
                </pt>
                <pt idx="8">
                  <v>2036</v>
                </pt>
                <pt idx="9">
                  <v>2037</v>
                </pt>
                <pt idx="10">
                  <v>2038</v>
                </pt>
                <pt idx="11">
                  <v>2039</v>
                </pt>
                <pt idx="12">
                  <v>2040</v>
                </pt>
                <pt idx="13">
                  <v>2041</v>
                </pt>
                <pt idx="14">
                  <v>2042</v>
                </pt>
                <pt idx="15">
                  <v>2043</v>
                </pt>
                <pt idx="16">
                  <v>2044</v>
                </pt>
                <pt idx="17">
                  <v>2045</v>
                </pt>
                <pt idx="18">
                  <v>2046</v>
                </pt>
                <pt idx="19">
                  <v>2047</v>
                </pt>
                <pt idx="20">
                  <v>2048</v>
                </pt>
                <pt idx="21">
                  <v>2049</v>
                </pt>
                <pt idx="22">
                  <v>2050</v>
                </pt>
                <pt idx="23">
                  <v>2051</v>
                </pt>
                <pt idx="24">
                  <v>2052</v>
                </pt>
              </strCache>
            </strRef>
          </cat>
          <val>
            <numRef>
              <f>Modell!$C$15:$AA$15</f>
              <numCache>
                <formatCode>#,##0.0;\(#,##0.0\);\-</formatCode>
                <ptCount val="25"/>
                <pt idx="0">
                  <v>0.0185525454868892</v>
                </pt>
                <pt idx="1">
                  <v>0.11558235838332</v>
                </pt>
                <pt idx="2">
                  <v>0.360050641704971</v>
                </pt>
                <pt idx="3">
                  <v>0.830837113954357</v>
                </pt>
                <pt idx="4">
                  <v>1.5132875118957</v>
                </pt>
                <pt idx="5">
                  <v>2.43200162994529</v>
                </pt>
                <pt idx="6">
                  <v>3.61366454011987</v>
                </pt>
                <pt idx="7">
                  <v>5.08720026640746</v>
                </pt>
                <pt idx="8">
                  <v>6.88393596022183</v>
                </pt>
                <pt idx="9">
                  <v>9.03777726264931</v>
                </pt>
                <pt idx="10">
                  <v>10.5321778024293</v>
                </pt>
                <pt idx="11">
                  <v>12.1386900556072</v>
                </pt>
                <pt idx="12">
                  <v>13.8643777569313</v>
                </pt>
                <pt idx="13">
                  <v>15.7167200742761</v>
                </pt>
                <pt idx="14">
                  <v>17.7036352652963</v>
                </pt>
                <pt idx="15">
                  <v>19.8335056594307</v>
                </pt>
                <pt idx="16">
                  <v>22.1152040388788</v>
                </pt>
                <pt idx="17">
                  <v>24.5581214962419</v>
                </pt>
                <pt idx="18">
                  <v>27.1721968508167</v>
                </pt>
                <pt idx="19">
                  <v>29.9679477100615</v>
                </pt>
                <pt idx="20">
                  <v>32.9565032675383</v>
                </pt>
                <pt idx="21">
                  <v>36.1496389336791</v>
                </pt>
                <pt idx="22">
                  <v>39.5598129010504</v>
                </pt>
                <pt idx="23">
                  <v>43.2002047514076</v>
                </pt>
                <pt idx="24">
                  <v>47.0847562177585</v>
                </pt>
              </numCache>
            </numRef>
          </val>
          <smooth val="1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0"/>
        <axId val="1076862"/>
        <axId val="4456884"/>
      </lineChart>
      <catAx>
        <axId val="1076862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r>
              <a:t/>
            </a:r>
          </a:p>
        </txPr>
        <crossAx val="4456884"/>
        <crosses val="autoZero"/>
        <auto val="1"/>
        <lblAlgn val="ctr"/>
        <lblOffset val="100"/>
        <noMultiLvlLbl val="0"/>
      </catAx>
      <valAx>
        <axId val="4456884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numFmt formatCode="#,##0;\(#,##0\);\-" sourceLinked="1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r>
              <a:t/>
            </a:r>
          </a:p>
        </txPr>
        <crossAx val="1076862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 editAs="oneCell">
    <from>
      <col>2</col>
      <colOff>0</colOff>
      <row>18</row>
      <rowOff>160560</rowOff>
    </from>
    <to>
      <col>15</col>
      <colOff>393120</colOff>
      <row>33</row>
      <rowOff>182880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E32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39" min="1" max="1"/>
    <col width="46" customWidth="1" style="39" min="2" max="2"/>
    <col width="16" customWidth="1" style="39" min="3" max="3"/>
    <col width="46" customWidth="1" style="39" min="4" max="4"/>
  </cols>
  <sheetData>
    <row r="2" ht="17.35" customHeight="1" s="40">
      <c r="B2" s="41" t="inlineStr">
        <is>
          <t>2 % INITIATIVE — FINANZMODELL</t>
        </is>
      </c>
    </row>
    <row r="3" ht="15" customHeight="1" s="40">
      <c r="B3" s="42" t="inlineStr">
        <is>
          <t>Gesetzliche Kapitalrente &amp; Wagniskapital-Allokation | Stand: Juli 2026, Quellen verifiziert | zweiprozent.net</t>
        </is>
      </c>
    </row>
    <row r="5" ht="15" customHeight="1" s="40">
      <c r="B5" s="43" t="inlineStr">
        <is>
          <t>ZWECK</t>
        </is>
      </c>
    </row>
    <row r="6" ht="72" customHeight="1" s="40">
      <c r="B6" s="44" t="inlineStr">
        <is>
          <t>Dieses Modell quantifiziert den Vorschlag der 2 % Initiative: eine Zielquote von 2 % des Fondsvermögens der gesetzlichen Kapitalrente (Bericht der Alterssicherungskommission vom 23.06.2026, Empfehlung 28) in europäisches Wagnis- und Wachstumskapital. Beitragspfad gemäß Kommission: Start 2028, jährliche Schritte von 0,5 Beitragssatzpunkten bis 2,0 % ab 2031. Alle Kennzahlen in Website, Deal-Book und Ein-Pager leiten sich aus diesem Modell ab.</t>
        </is>
      </c>
    </row>
    <row r="8" ht="15" customHeight="1" s="40">
      <c r="B8" s="43" t="inlineStr">
        <is>
          <t>STRUKTUR</t>
        </is>
      </c>
    </row>
    <row r="9" ht="15" customHeight="1" s="40">
      <c r="B9" s="45" t="inlineStr">
        <is>
          <t>Annahmen</t>
        </is>
      </c>
      <c r="C9" s="46" t="inlineStr">
        <is>
          <t>→</t>
        </is>
      </c>
      <c r="D9" s="46" t="inlineStr">
        <is>
          <t>Alle Eingaben (blau), jeweils mit verifizierter Quelle</t>
        </is>
      </c>
    </row>
    <row r="10" ht="15" customHeight="1" s="40">
      <c r="B10" s="45" t="inlineStr">
        <is>
          <t>Modell</t>
        </is>
      </c>
      <c r="C10" s="46" t="inlineStr">
        <is>
          <t>→</t>
        </is>
      </c>
      <c r="D10" s="46" t="inlineStr">
        <is>
          <t>25-Jahres-Projektion 2028–2052</t>
        </is>
      </c>
    </row>
    <row r="11" ht="15" customHeight="1" s="40">
      <c r="B11" s="45" t="inlineStr">
        <is>
          <t>Sensitivität</t>
        </is>
      </c>
      <c r="C11" s="46" t="inlineStr">
        <is>
          <t>→</t>
        </is>
      </c>
      <c r="D11" s="46" t="inlineStr">
        <is>
          <t>Rendite × Laufzeit × VC-Quote</t>
        </is>
      </c>
    </row>
    <row r="12" ht="15" customHeight="1" s="40">
      <c r="B12" s="45" t="inlineStr">
        <is>
          <t>Vergleich</t>
        </is>
      </c>
      <c r="C12" s="46" t="inlineStr">
        <is>
          <t>→</t>
        </is>
      </c>
      <c r="D12" s="46" t="inlineStr">
        <is>
          <t>Internationale Referenzfonds, Stand Juli 2026 verifiziert</t>
        </is>
      </c>
    </row>
    <row r="13" ht="15" customHeight="1" s="40">
      <c r="B13" s="45" t="inlineStr">
        <is>
          <t>Quellen</t>
        </is>
      </c>
      <c r="C13" s="46" t="inlineStr">
        <is>
          <t>→</t>
        </is>
      </c>
      <c r="D13" s="46" t="inlineStr">
        <is>
          <t>Vollständige Quellenliste mit Fundstellen</t>
        </is>
      </c>
    </row>
    <row r="15" ht="15" customHeight="1" s="40">
      <c r="B15" s="43" t="inlineStr">
        <is>
          <t>FARBLEGENDE</t>
        </is>
      </c>
    </row>
    <row r="16" ht="15" customHeight="1" s="40">
      <c r="B16" s="47" t="inlineStr">
        <is>
          <t>Blau = Eingabe / Annahme (änderbar)</t>
        </is>
      </c>
    </row>
    <row r="17" ht="15" customHeight="1" s="40">
      <c r="B17" s="46" t="inlineStr">
        <is>
          <t>Schwarz = Formel / Berechnung</t>
        </is>
      </c>
    </row>
    <row r="18" ht="15" customHeight="1" s="40">
      <c r="B18" s="48" t="inlineStr">
        <is>
          <t>Grün = Verknüpfung auf anderes Blatt</t>
        </is>
      </c>
    </row>
    <row r="19" ht="15" customHeight="1" s="40">
      <c r="B19" s="49" t="inlineStr">
        <is>
          <t>Gelb = noch nicht abschließend verifiziert</t>
        </is>
      </c>
    </row>
    <row r="21" ht="15" customHeight="1" s="40">
      <c r="B21" s="43" t="inlineStr">
        <is>
          <t>KERNERGEBNISSE (Basisszenario)</t>
        </is>
      </c>
    </row>
    <row r="22" ht="15" customHeight="1" s="40">
      <c r="B22" s="46" t="inlineStr">
        <is>
          <t>Zufluss Kapitalrente p.a. (voller Satz, 2031)</t>
        </is>
      </c>
      <c r="C22" s="50">
        <f>Modell!F9</f>
        <v/>
      </c>
      <c r="D22" s="42" t="inlineStr">
        <is>
          <t>Mrd. €</t>
        </is>
      </c>
    </row>
    <row r="23" ht="15" customHeight="1" s="40">
      <c r="B23" s="46" t="inlineStr">
        <is>
          <t>Fondsvermögen nach 5 Jahren (2032)</t>
        </is>
      </c>
      <c r="C23" s="50">
        <f>Modell!G11</f>
        <v/>
      </c>
      <c r="D23" s="42" t="inlineStr">
        <is>
          <t>Mrd. €</t>
        </is>
      </c>
    </row>
    <row r="24" ht="15" customHeight="1" s="40">
      <c r="B24" s="46" t="inlineStr">
        <is>
          <t>Fondsvermögen nach 10 Jahren (2037)</t>
        </is>
      </c>
      <c r="C24" s="50">
        <f>Modell!L11</f>
        <v/>
      </c>
      <c r="D24" s="42" t="inlineStr">
        <is>
          <t>Mrd. €</t>
        </is>
      </c>
    </row>
    <row r="25" ht="15" customHeight="1" s="40">
      <c r="B25" s="46" t="inlineStr">
        <is>
          <t>Fondsvermögen nach 20 Jahren (2047)</t>
        </is>
      </c>
      <c r="C25" s="50">
        <f>Modell!V11</f>
        <v/>
      </c>
      <c r="D25" s="42" t="inlineStr">
        <is>
          <t>Mrd. €</t>
        </is>
      </c>
    </row>
    <row r="26" ht="15" customHeight="1" s="40">
      <c r="B26" s="46" t="inlineStr">
        <is>
          <t>VC-Allokation nach 10 Jahren (2037)</t>
        </is>
      </c>
      <c r="C26" s="51">
        <f>Modell!L15</f>
        <v/>
      </c>
      <c r="D26" s="42" t="inlineStr">
        <is>
          <t>Mrd. €</t>
        </is>
      </c>
    </row>
    <row r="27" ht="15" customHeight="1" s="40">
      <c r="B27" s="46" t="inlineStr">
        <is>
          <t>VC-Allokation nach 20 Jahren (2047)</t>
        </is>
      </c>
      <c r="C27" s="51">
        <f>Modell!V15</f>
        <v/>
      </c>
      <c r="D27" s="42" t="inlineStr">
        <is>
          <t>Mrd. €</t>
        </is>
      </c>
    </row>
    <row r="28" ht="15" customHeight="1" s="40">
      <c r="B28" s="46" t="inlineStr">
        <is>
          <t>VC-Neuzusagen p.a. (2037)</t>
        </is>
      </c>
      <c r="C28" s="51">
        <f>Modell!L16</f>
        <v/>
      </c>
      <c r="D28" s="42" t="inlineStr">
        <is>
          <t>Mrd. €</t>
        </is>
      </c>
    </row>
    <row r="30" ht="60" customHeight="1" s="40">
      <c r="B30" s="52" t="inlineStr">
        <is>
          <t>Vereinfachungen: reine Ansparphase (keine Auszahlungen im Betrachtungszeitraum, vgl. schwedisches Modell); Rendite nominal, netto Kosten; Neuzusagen approximiert über Veränderung der Zielallokation zzgl. Ersatz von Ausschüttungen. Kein Steuer-/Verwaltungskostenmodul. Plausibilitätsanker: Merz bezifferte den jährlichen Zufluss bei Berichtsübergabe auf 'mindestens 30 Mrd. € pro Jahr'.</t>
        </is>
      </c>
    </row>
    <row r="31" ht="15" customHeight="1" s="40"/>
    <row r="32" ht="15" customHeight="1" s="40"/>
  </sheetData>
  <mergeCells count="6">
    <mergeCell ref="D10:E10"/>
    <mergeCell ref="D13:E13"/>
    <mergeCell ref="D11:E11"/>
    <mergeCell ref="D9:E9"/>
    <mergeCell ref="B30:D32"/>
    <mergeCell ref="D12:E1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2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4" customWidth="1" style="39" min="1" max="1"/>
    <col width="13" customWidth="1" style="39" min="2" max="2"/>
    <col width="82" customWidth="1" style="39" min="3" max="3"/>
  </cols>
  <sheetData>
    <row r="1" ht="17.35" customHeight="1" s="40">
      <c r="A1" s="41" t="inlineStr">
        <is>
          <t>ANNAHMEN</t>
        </is>
      </c>
    </row>
    <row r="2" ht="15" customHeight="1" s="40">
      <c r="A2" s="42" t="inlineStr">
        <is>
          <t>Blaue Werte sind Eingaben. Quelle jeweils in Spalte C — alle Kernquellen im Juli 2026 gegen Primärquellen verifiziert.</t>
        </is>
      </c>
    </row>
    <row r="3" ht="15" customHeight="1" s="40">
      <c r="A3" s="53" t="inlineStr">
        <is>
          <t>Parameter</t>
        </is>
      </c>
      <c r="B3" s="53" t="inlineStr">
        <is>
          <t>Wert</t>
        </is>
      </c>
      <c r="C3" s="53" t="inlineStr">
        <is>
          <t>Quelle / Kommentar</t>
        </is>
      </c>
    </row>
    <row r="4" ht="19.4" customHeight="1" s="40">
      <c r="A4" s="46" t="inlineStr">
        <is>
          <t>Beitragseinnahmen GRV 2023 (Mrd. €)</t>
        </is>
      </c>
      <c r="B4" s="54" t="n">
        <v>289.7</v>
      </c>
      <c r="C4" s="52" t="inlineStr">
        <is>
          <t>Rentenversicherungsbericht 2024 der Bundesregierung: Einnahmen 381,2 Mrd. €, davon Beiträge 289,7 Mrd. € (inkl. Bundesbeiträge Kindererziehungszeiten). VERIFIZIERT 07/2026.</t>
        </is>
      </c>
    </row>
    <row r="5" ht="15" customHeight="1" s="40">
      <c r="A5" s="46" t="inlineStr">
        <is>
          <t>Beitragssatz GRV</t>
        </is>
      </c>
      <c r="B5" s="55" t="n">
        <v>0.186</v>
      </c>
      <c r="C5" s="52" t="inlineStr">
        <is>
          <t>BMAS, Rentenversicherungsbericht 2025 (Kabinett 19.11.2025): Satz stabil 18,6 % bis 2027. VERIFIZIERT 07/2026.</t>
        </is>
      </c>
    </row>
    <row r="6" ht="15" customHeight="1" s="40">
      <c r="A6" s="46" t="inlineStr">
        <is>
          <t>Implizite beitragspflichtige Entgelte 2023 (Mrd. €)</t>
        </is>
      </c>
      <c r="B6" s="56">
        <f>B4/B5</f>
        <v/>
      </c>
      <c r="C6" s="52" t="inlineStr">
        <is>
          <t>Berechnung: Beitragseinnahmen ÷ Beitragssatz ≈ 1.557 Mrd. €</t>
        </is>
      </c>
    </row>
    <row r="7" ht="15" customHeight="1" s="40">
      <c r="A7" s="46" t="inlineStr">
        <is>
          <t>Beitragspflichtige Entgelte 2028 (Mrd. €)</t>
        </is>
      </c>
      <c r="B7" s="56">
        <f>B6*(1+B8)^5</f>
        <v/>
      </c>
      <c r="C7" s="52" t="inlineStr">
        <is>
          <t>Fortschreibung 2023 → 2028 mit Lohnwachstum (Start des Beitragspfads der Kapitalrente)</t>
        </is>
      </c>
    </row>
    <row r="8" ht="15" customHeight="1" s="40">
      <c r="A8" s="46" t="inlineStr">
        <is>
          <t>Lohnwachstum p.a. (nominal)</t>
        </is>
      </c>
      <c r="B8" s="55" t="n">
        <v>0.03</v>
      </c>
      <c r="C8" s="52" t="inlineStr">
        <is>
          <t>Lohnannahme des Rentenversicherungsberichts 2025 (BMAS, Kabinett 19.11.2025): Bruttolöhne je Arbeitnehmer +3,6 % (2025), +3,3 % (2026), +3,2 % (2027), +2,9 % bis 2030, danach +3,0 % p.a. — wir rechnen durchgehend konservativ mit 3,0 % NOMINAL. Hinweis: Die Rentensteigerung (Ø +2,8 % p.a. bis 2039) ist eine gedämpfte Folge des Lohnwachstums (Nachhaltigkeits-/Faktoren), keine eigenständige Quelle dafür.</t>
        </is>
      </c>
    </row>
    <row r="9" ht="15" customHeight="1" s="40">
      <c r="A9" s="43" t="inlineStr">
        <is>
          <t>— Kapitalrente —</t>
        </is>
      </c>
    </row>
    <row r="10" ht="19.4" customHeight="1" s="40">
      <c r="A10" s="46" t="inlineStr">
        <is>
          <t>Beitragssatz gesetzliche Kapitalrente (Zielsatz)</t>
        </is>
      </c>
      <c r="B10" s="55" t="n">
        <v>0.02</v>
      </c>
      <c r="C10" s="52" t="inlineStr">
        <is>
          <t>Bericht der Alterssicherungskommission, 23.06.2026, Empfehlung 28: zusätzlicher Beitrag 2 %, paritätisch AG/AN, schwedisches Vorbild. VERIFIZIERT (bundesregierung.de, Berichts-PDF).</t>
        </is>
      </c>
    </row>
    <row r="11" ht="19.4" customHeight="1" s="40">
      <c r="A11" s="46" t="inlineStr">
        <is>
          <t>Phase-in: Schritt pro Jahr (ab 2028)</t>
        </is>
      </c>
      <c r="B11" s="57" t="n">
        <v>0.005</v>
      </c>
      <c r="C11" s="52" t="inlineStr">
        <is>
          <t>Kommissionsbericht: schrittweise Einführung ab 2028 in jährlichen Schritten von 0,5 Beitragssatzpunkten; voller Satz 2 % ab 2031. Im Gesetzentwurf final prüfen.</t>
        </is>
      </c>
    </row>
    <row r="12" ht="19.4" customHeight="1" s="40">
      <c r="A12" s="46" t="inlineStr">
        <is>
          <t>Nominalrendite Fonds p.a. (netto)</t>
        </is>
      </c>
      <c r="B12" s="55" t="n">
        <v>0.055</v>
      </c>
      <c r="C12" s="52" t="inlineStr">
        <is>
          <t>Konservative Annahme. Referenzen: AP7 Såfa Ø 13,3 % p.a. (2010–2023, WiWo/IPE); KENFO 9,4 % (2024), 11,1 % (2023); ATP Investmentportfolio Ø 10,4 % seit 2008. Sensitivität: 4,0–7,0 %.</t>
        </is>
      </c>
    </row>
    <row r="13" ht="15" customHeight="1" s="40">
      <c r="A13" s="46" t="inlineStr">
        <is>
          <t>VC-Zielquote (Forderung der Initiative)</t>
        </is>
      </c>
      <c r="B13" s="55" t="n">
        <v>0.02</v>
      </c>
      <c r="C13" s="52" t="inlineStr">
        <is>
          <t>Forderung 2 % Initiative: Anteil des Fondsvermögens in europ. Wagnis-/Wachstumskapital</t>
        </is>
      </c>
    </row>
    <row r="14" ht="15" customHeight="1" s="40">
      <c r="A14" s="46" t="inlineStr">
        <is>
          <t>Aufbau der VC-Quote (Jahre, linear)</t>
        </is>
      </c>
      <c r="B14" s="58" t="n">
        <v>10</v>
      </c>
      <c r="C14" s="52" t="inlineStr">
        <is>
          <t>Annahme der Initiative: schrittweiser Aufbau wegen Illiquidität und Marktaufnahmefähigkeit</t>
        </is>
      </c>
    </row>
    <row r="15" ht="15" customHeight="1" s="40">
      <c r="A15" s="46" t="inlineStr">
        <is>
          <t>Ausschüttungsquote VC-Portfolio p.a.</t>
        </is>
      </c>
      <c r="B15" s="55" t="n">
        <v>0.1</v>
      </c>
      <c r="C15" s="52" t="inlineStr">
        <is>
          <t>Annahme: jährliche Distributionen ~10 % des VC-NAV im eingeschwungenen Zustand (Ersatz durch Neuzusagen)</t>
        </is>
      </c>
    </row>
    <row r="16" ht="15" customHeight="1" s="40">
      <c r="A16" s="43" t="inlineStr">
        <is>
          <t>— Sonstiges —</t>
        </is>
      </c>
    </row>
    <row r="17" ht="19.4" customHeight="1" s="40">
      <c r="A17" s="46" t="inlineStr">
        <is>
          <t>BIP nominal 2025 (Mrd. €)</t>
        </is>
      </c>
      <c r="B17" s="58" t="n">
        <v>4469.9</v>
      </c>
      <c r="C17" s="52" t="inlineStr">
        <is>
          <t>Destatis, PM Nr. 017 vom 15.01.2026: BIP 2025 in jeweiligen Preisen 4.469,9 Mrd. € (vorläufig; nominal +3,3 %). VERIFIZIERT 07/2026.</t>
        </is>
      </c>
    </row>
    <row r="18" ht="15" customHeight="1" s="40">
      <c r="A18" s="46" t="inlineStr">
        <is>
          <t>BIP-Wachstum nominal p.a.</t>
        </is>
      </c>
      <c r="B18" s="55" t="n">
        <v>0.028</v>
      </c>
      <c r="C18" s="52" t="inlineStr">
        <is>
          <t>Annahme: ~1 % real + ~1,8 % Deflator</t>
        </is>
      </c>
    </row>
    <row r="19" ht="15" customHeight="1" s="40">
      <c r="A19" s="46" t="inlineStr">
        <is>
          <t>BIP nominal 2028 (Mrd. €, abgeleitet)</t>
        </is>
      </c>
      <c r="B19" s="56">
        <f>B17*(1+B18)^3</f>
        <v/>
      </c>
      <c r="C19" s="52" t="inlineStr">
        <is>
          <t>Fortschreibung 2025 → 2028</t>
        </is>
      </c>
    </row>
    <row r="21">
      <c r="A21" t="inlineStr">
        <is>
          <t>KONVENTION: Alle Wachstums- und Renditegrößen in diesem Modell sind NOMINAL (Lohnwachstum 3,0 % nominal ≈ 1,0 % real bei 2 % Inflation; Fondsrendite 5,5 % nominal ≈ 3,5 % real). Nominale Größen und nominale Rendite konsistent kombiniert; reale Kaufkraft der Endwerte entsprechend geringer.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AA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2" customWidth="1" style="39" min="1" max="1"/>
    <col width="8" customWidth="1" style="39" min="2" max="2"/>
    <col width="9" customWidth="1" style="39" min="3" max="27"/>
  </cols>
  <sheetData>
    <row r="1" ht="17.35" customHeight="1" s="40">
      <c r="A1" s="41" t="inlineStr">
        <is>
          <t>PROJEKTION 2028–2052</t>
        </is>
      </c>
    </row>
    <row r="2" ht="15" customHeight="1" s="40">
      <c r="A2" s="42" t="inlineStr">
        <is>
          <t>Alle Beträge in Mrd. €, sofern nicht anders angegeben. Beitragspfad gemäß Kommission: 0,5 %-Schritte ab 2028, voller Satz 2 % ab 2031.</t>
        </is>
      </c>
    </row>
    <row r="4" ht="15" customHeight="1" s="40">
      <c r="A4" s="45" t="inlineStr">
        <is>
          <t>Jahr</t>
        </is>
      </c>
      <c r="C4" s="59" t="inlineStr">
        <is>
          <t>2028</t>
        </is>
      </c>
      <c r="D4" s="59" t="inlineStr">
        <is>
          <t>2029</t>
        </is>
      </c>
      <c r="E4" s="59" t="inlineStr">
        <is>
          <t>2030</t>
        </is>
      </c>
      <c r="F4" s="59" t="inlineStr">
        <is>
          <t>2031</t>
        </is>
      </c>
      <c r="G4" s="59" t="inlineStr">
        <is>
          <t>2032</t>
        </is>
      </c>
      <c r="H4" s="59" t="inlineStr">
        <is>
          <t>2033</t>
        </is>
      </c>
      <c r="I4" s="59" t="inlineStr">
        <is>
          <t>2034</t>
        </is>
      </c>
      <c r="J4" s="59" t="inlineStr">
        <is>
          <t>2035</t>
        </is>
      </c>
      <c r="K4" s="59" t="inlineStr">
        <is>
          <t>2036</t>
        </is>
      </c>
      <c r="L4" s="59" t="inlineStr">
        <is>
          <t>2037</t>
        </is>
      </c>
      <c r="M4" s="59" t="inlineStr">
        <is>
          <t>2038</t>
        </is>
      </c>
      <c r="N4" s="59" t="inlineStr">
        <is>
          <t>2039</t>
        </is>
      </c>
      <c r="O4" s="59" t="inlineStr">
        <is>
          <t>2040</t>
        </is>
      </c>
      <c r="P4" s="59" t="inlineStr">
        <is>
          <t>2041</t>
        </is>
      </c>
      <c r="Q4" s="59" t="inlineStr">
        <is>
          <t>2042</t>
        </is>
      </c>
      <c r="R4" s="59" t="inlineStr">
        <is>
          <t>2043</t>
        </is>
      </c>
      <c r="S4" s="59" t="inlineStr">
        <is>
          <t>2044</t>
        </is>
      </c>
      <c r="T4" s="59" t="inlineStr">
        <is>
          <t>2045</t>
        </is>
      </c>
      <c r="U4" s="59" t="inlineStr">
        <is>
          <t>2046</t>
        </is>
      </c>
      <c r="V4" s="59" t="inlineStr">
        <is>
          <t>2047</t>
        </is>
      </c>
      <c r="W4" s="59" t="inlineStr">
        <is>
          <t>2048</t>
        </is>
      </c>
      <c r="X4" s="59" t="inlineStr">
        <is>
          <t>2049</t>
        </is>
      </c>
      <c r="Y4" s="59" t="inlineStr">
        <is>
          <t>2050</t>
        </is>
      </c>
      <c r="Z4" s="59" t="inlineStr">
        <is>
          <t>2051</t>
        </is>
      </c>
      <c r="AA4" s="59" t="inlineStr">
        <is>
          <t>2052</t>
        </is>
      </c>
    </row>
    <row r="5" ht="15" customHeight="1" s="40">
      <c r="A5" s="42" t="inlineStr">
        <is>
          <t>Jahresindex t</t>
        </is>
      </c>
      <c r="C5" s="60" t="n">
        <v>1</v>
      </c>
      <c r="D5" s="60" t="n">
        <v>2</v>
      </c>
      <c r="E5" s="60" t="n">
        <v>3</v>
      </c>
      <c r="F5" s="60" t="n">
        <v>4</v>
      </c>
      <c r="G5" s="60" t="n">
        <v>5</v>
      </c>
      <c r="H5" s="60" t="n">
        <v>6</v>
      </c>
      <c r="I5" s="60" t="n">
        <v>7</v>
      </c>
      <c r="J5" s="60" t="n">
        <v>8</v>
      </c>
      <c r="K5" s="60" t="n">
        <v>9</v>
      </c>
      <c r="L5" s="60" t="n">
        <v>10</v>
      </c>
      <c r="M5" s="60" t="n">
        <v>11</v>
      </c>
      <c r="N5" s="60" t="n">
        <v>12</v>
      </c>
      <c r="O5" s="60" t="n">
        <v>13</v>
      </c>
      <c r="P5" s="60" t="n">
        <v>14</v>
      </c>
      <c r="Q5" s="60" t="n">
        <v>15</v>
      </c>
      <c r="R5" s="60" t="n">
        <v>16</v>
      </c>
      <c r="S5" s="60" t="n">
        <v>17</v>
      </c>
      <c r="T5" s="60" t="n">
        <v>18</v>
      </c>
      <c r="U5" s="60" t="n">
        <v>19</v>
      </c>
      <c r="V5" s="60" t="n">
        <v>20</v>
      </c>
      <c r="W5" s="60" t="n">
        <v>21</v>
      </c>
      <c r="X5" s="60" t="n">
        <v>22</v>
      </c>
      <c r="Y5" s="60" t="n">
        <v>23</v>
      </c>
      <c r="Z5" s="60" t="n">
        <v>24</v>
      </c>
      <c r="AA5" s="60" t="n">
        <v>25</v>
      </c>
    </row>
    <row r="6" ht="15" customHeight="1" s="40">
      <c r="A6" s="43" t="inlineStr">
        <is>
          <t>ZUFLÜSSE</t>
        </is>
      </c>
    </row>
    <row r="7" ht="15" customHeight="1" s="40">
      <c r="A7" s="46" t="inlineStr">
        <is>
          <t>Beitragspflichtige Entgelte</t>
        </is>
      </c>
      <c r="C7" s="50">
        <f>Annahmen!$B$7</f>
        <v/>
      </c>
      <c r="D7" s="56">
        <f>C7*(1+Annahmen!$B$8)</f>
        <v/>
      </c>
      <c r="E7" s="56">
        <f>D7*(1+Annahmen!$B$8)</f>
        <v/>
      </c>
      <c r="F7" s="56">
        <f>E7*(1+Annahmen!$B$8)</f>
        <v/>
      </c>
      <c r="G7" s="56">
        <f>F7*(1+Annahmen!$B$8)</f>
        <v/>
      </c>
      <c r="H7" s="56">
        <f>G7*(1+Annahmen!$B$8)</f>
        <v/>
      </c>
      <c r="I7" s="56">
        <f>H7*(1+Annahmen!$B$8)</f>
        <v/>
      </c>
      <c r="J7" s="56">
        <f>I7*(1+Annahmen!$B$8)</f>
        <v/>
      </c>
      <c r="K7" s="56">
        <f>J7*(1+Annahmen!$B$8)</f>
        <v/>
      </c>
      <c r="L7" s="56">
        <f>K7*(1+Annahmen!$B$8)</f>
        <v/>
      </c>
      <c r="M7" s="56">
        <f>L7*(1+Annahmen!$B$8)</f>
        <v/>
      </c>
      <c r="N7" s="56">
        <f>M7*(1+Annahmen!$B$8)</f>
        <v/>
      </c>
      <c r="O7" s="56">
        <f>N7*(1+Annahmen!$B$8)</f>
        <v/>
      </c>
      <c r="P7" s="56">
        <f>O7*(1+Annahmen!$B$8)</f>
        <v/>
      </c>
      <c r="Q7" s="56">
        <f>P7*(1+Annahmen!$B$8)</f>
        <v/>
      </c>
      <c r="R7" s="56">
        <f>Q7*(1+Annahmen!$B$8)</f>
        <v/>
      </c>
      <c r="S7" s="56">
        <f>R7*(1+Annahmen!$B$8)</f>
        <v/>
      </c>
      <c r="T7" s="56">
        <f>S7*(1+Annahmen!$B$8)</f>
        <v/>
      </c>
      <c r="U7" s="56">
        <f>T7*(1+Annahmen!$B$8)</f>
        <v/>
      </c>
      <c r="V7" s="56">
        <f>U7*(1+Annahmen!$B$8)</f>
        <v/>
      </c>
      <c r="W7" s="56">
        <f>V7*(1+Annahmen!$B$8)</f>
        <v/>
      </c>
      <c r="X7" s="56">
        <f>W7*(1+Annahmen!$B$8)</f>
        <v/>
      </c>
      <c r="Y7" s="56">
        <f>X7*(1+Annahmen!$B$8)</f>
        <v/>
      </c>
      <c r="Z7" s="56">
        <f>Y7*(1+Annahmen!$B$8)</f>
        <v/>
      </c>
      <c r="AA7" s="56">
        <f>Z7*(1+Annahmen!$B$8)</f>
        <v/>
      </c>
    </row>
    <row r="8" ht="15" customHeight="1" s="40">
      <c r="A8" s="46" t="inlineStr">
        <is>
          <t>Beitragssatz Kapitalrente</t>
        </is>
      </c>
      <c r="C8" s="61">
        <f>MIN(Annahmen!$B$10,Annahmen!$B$11*C5)</f>
        <v/>
      </c>
      <c r="D8" s="61">
        <f>MIN(Annahmen!$B$10,Annahmen!$B$11*D5)</f>
        <v/>
      </c>
      <c r="E8" s="61">
        <f>MIN(Annahmen!$B$10,Annahmen!$B$11*E5)</f>
        <v/>
      </c>
      <c r="F8" s="61">
        <f>MIN(Annahmen!$B$10,Annahmen!$B$11*F5)</f>
        <v/>
      </c>
      <c r="G8" s="61">
        <f>MIN(Annahmen!$B$10,Annahmen!$B$11*G5)</f>
        <v/>
      </c>
      <c r="H8" s="61">
        <f>MIN(Annahmen!$B$10,Annahmen!$B$11*H5)</f>
        <v/>
      </c>
      <c r="I8" s="61">
        <f>MIN(Annahmen!$B$10,Annahmen!$B$11*I5)</f>
        <v/>
      </c>
      <c r="J8" s="61">
        <f>MIN(Annahmen!$B$10,Annahmen!$B$11*J5)</f>
        <v/>
      </c>
      <c r="K8" s="61">
        <f>MIN(Annahmen!$B$10,Annahmen!$B$11*K5)</f>
        <v/>
      </c>
      <c r="L8" s="61">
        <f>MIN(Annahmen!$B$10,Annahmen!$B$11*L5)</f>
        <v/>
      </c>
      <c r="M8" s="61">
        <f>MIN(Annahmen!$B$10,Annahmen!$B$11*M5)</f>
        <v/>
      </c>
      <c r="N8" s="61">
        <f>MIN(Annahmen!$B$10,Annahmen!$B$11*N5)</f>
        <v/>
      </c>
      <c r="O8" s="61">
        <f>MIN(Annahmen!$B$10,Annahmen!$B$11*O5)</f>
        <v/>
      </c>
      <c r="P8" s="61">
        <f>MIN(Annahmen!$B$10,Annahmen!$B$11*P5)</f>
        <v/>
      </c>
      <c r="Q8" s="61">
        <f>MIN(Annahmen!$B$10,Annahmen!$B$11*Q5)</f>
        <v/>
      </c>
      <c r="R8" s="61">
        <f>MIN(Annahmen!$B$10,Annahmen!$B$11*R5)</f>
        <v/>
      </c>
      <c r="S8" s="61">
        <f>MIN(Annahmen!$B$10,Annahmen!$B$11*S5)</f>
        <v/>
      </c>
      <c r="T8" s="61">
        <f>MIN(Annahmen!$B$10,Annahmen!$B$11*T5)</f>
        <v/>
      </c>
      <c r="U8" s="61">
        <f>MIN(Annahmen!$B$10,Annahmen!$B$11*U5)</f>
        <v/>
      </c>
      <c r="V8" s="61">
        <f>MIN(Annahmen!$B$10,Annahmen!$B$11*V5)</f>
        <v/>
      </c>
      <c r="W8" s="61">
        <f>MIN(Annahmen!$B$10,Annahmen!$B$11*W5)</f>
        <v/>
      </c>
      <c r="X8" s="61">
        <f>MIN(Annahmen!$B$10,Annahmen!$B$11*X5)</f>
        <v/>
      </c>
      <c r="Y8" s="61">
        <f>MIN(Annahmen!$B$10,Annahmen!$B$11*Y5)</f>
        <v/>
      </c>
      <c r="Z8" s="61">
        <f>MIN(Annahmen!$B$10,Annahmen!$B$11*Z5)</f>
        <v/>
      </c>
      <c r="AA8" s="61">
        <f>MIN(Annahmen!$B$10,Annahmen!$B$11*AA5)</f>
        <v/>
      </c>
    </row>
    <row r="9" ht="15" customHeight="1" s="40">
      <c r="A9" s="45" t="inlineStr">
        <is>
          <t>Zufluss Kapitalrente p.a.</t>
        </is>
      </c>
      <c r="C9" s="62">
        <f>C7*C8</f>
        <v/>
      </c>
      <c r="D9" s="62">
        <f>D7*D8</f>
        <v/>
      </c>
      <c r="E9" s="62">
        <f>E7*E8</f>
        <v/>
      </c>
      <c r="F9" s="62">
        <f>F7*F8</f>
        <v/>
      </c>
      <c r="G9" s="62">
        <f>G7*G8</f>
        <v/>
      </c>
      <c r="H9" s="62">
        <f>H7*H8</f>
        <v/>
      </c>
      <c r="I9" s="62">
        <f>I7*I8</f>
        <v/>
      </c>
      <c r="J9" s="62">
        <f>J7*J8</f>
        <v/>
      </c>
      <c r="K9" s="62">
        <f>K7*K8</f>
        <v/>
      </c>
      <c r="L9" s="62">
        <f>L7*L8</f>
        <v/>
      </c>
      <c r="M9" s="62">
        <f>M7*M8</f>
        <v/>
      </c>
      <c r="N9" s="62">
        <f>N7*N8</f>
        <v/>
      </c>
      <c r="O9" s="62">
        <f>O7*O8</f>
        <v/>
      </c>
      <c r="P9" s="62">
        <f>P7*P8</f>
        <v/>
      </c>
      <c r="Q9" s="62">
        <f>Q7*Q8</f>
        <v/>
      </c>
      <c r="R9" s="62">
        <f>R7*R8</f>
        <v/>
      </c>
      <c r="S9" s="62">
        <f>S7*S8</f>
        <v/>
      </c>
      <c r="T9" s="62">
        <f>T7*T8</f>
        <v/>
      </c>
      <c r="U9" s="62">
        <f>U7*U8</f>
        <v/>
      </c>
      <c r="V9" s="62">
        <f>V7*V8</f>
        <v/>
      </c>
      <c r="W9" s="62">
        <f>W7*W8</f>
        <v/>
      </c>
      <c r="X9" s="62">
        <f>X7*X8</f>
        <v/>
      </c>
      <c r="Y9" s="62">
        <f>Y7*Y8</f>
        <v/>
      </c>
      <c r="Z9" s="62">
        <f>Z7*Z8</f>
        <v/>
      </c>
      <c r="AA9" s="62">
        <f>AA7*AA8</f>
        <v/>
      </c>
    </row>
    <row r="10" ht="15" customHeight="1" s="40">
      <c r="A10" s="43" t="inlineStr">
        <is>
          <t>FONDS</t>
        </is>
      </c>
    </row>
    <row r="11" ht="15" customHeight="1" s="40">
      <c r="A11" s="45" t="inlineStr">
        <is>
          <t>Fondsvermögen (Jahresende)</t>
        </is>
      </c>
      <c r="C11" s="63">
        <f>C9*(1+Annahmen!$B$12/2)</f>
        <v/>
      </c>
      <c r="D11" s="63">
        <f>C11*(1+Annahmen!$B$12)+D9*(1+Annahmen!$B$12/2)</f>
        <v/>
      </c>
      <c r="E11" s="63">
        <f>D11*(1+Annahmen!$B$12)+E9*(1+Annahmen!$B$12/2)</f>
        <v/>
      </c>
      <c r="F11" s="63">
        <f>E11*(1+Annahmen!$B$12)+F9*(1+Annahmen!$B$12/2)</f>
        <v/>
      </c>
      <c r="G11" s="63">
        <f>F11*(1+Annahmen!$B$12)+G9*(1+Annahmen!$B$12/2)</f>
        <v/>
      </c>
      <c r="H11" s="63">
        <f>G11*(1+Annahmen!$B$12)+H9*(1+Annahmen!$B$12/2)</f>
        <v/>
      </c>
      <c r="I11" s="63">
        <f>H11*(1+Annahmen!$B$12)+I9*(1+Annahmen!$B$12/2)</f>
        <v/>
      </c>
      <c r="J11" s="63">
        <f>I11*(1+Annahmen!$B$12)+J9*(1+Annahmen!$B$12/2)</f>
        <v/>
      </c>
      <c r="K11" s="63">
        <f>J11*(1+Annahmen!$B$12)+K9*(1+Annahmen!$B$12/2)</f>
        <v/>
      </c>
      <c r="L11" s="63">
        <f>K11*(1+Annahmen!$B$12)+L9*(1+Annahmen!$B$12/2)</f>
        <v/>
      </c>
      <c r="M11" s="63">
        <f>L11*(1+Annahmen!$B$12)+M9*(1+Annahmen!$B$12/2)</f>
        <v/>
      </c>
      <c r="N11" s="63">
        <f>M11*(1+Annahmen!$B$12)+N9*(1+Annahmen!$B$12/2)</f>
        <v/>
      </c>
      <c r="O11" s="63">
        <f>N11*(1+Annahmen!$B$12)+O9*(1+Annahmen!$B$12/2)</f>
        <v/>
      </c>
      <c r="P11" s="63">
        <f>O11*(1+Annahmen!$B$12)+P9*(1+Annahmen!$B$12/2)</f>
        <v/>
      </c>
      <c r="Q11" s="63">
        <f>P11*(1+Annahmen!$B$12)+Q9*(1+Annahmen!$B$12/2)</f>
        <v/>
      </c>
      <c r="R11" s="63">
        <f>Q11*(1+Annahmen!$B$12)+R9*(1+Annahmen!$B$12/2)</f>
        <v/>
      </c>
      <c r="S11" s="63">
        <f>R11*(1+Annahmen!$B$12)+S9*(1+Annahmen!$B$12/2)</f>
        <v/>
      </c>
      <c r="T11" s="63">
        <f>S11*(1+Annahmen!$B$12)+T9*(1+Annahmen!$B$12/2)</f>
        <v/>
      </c>
      <c r="U11" s="63">
        <f>T11*(1+Annahmen!$B$12)+U9*(1+Annahmen!$B$12/2)</f>
        <v/>
      </c>
      <c r="V11" s="63">
        <f>U11*(1+Annahmen!$B$12)+V9*(1+Annahmen!$B$12/2)</f>
        <v/>
      </c>
      <c r="W11" s="63">
        <f>V11*(1+Annahmen!$B$12)+W9*(1+Annahmen!$B$12/2)</f>
        <v/>
      </c>
      <c r="X11" s="63">
        <f>W11*(1+Annahmen!$B$12)+X9*(1+Annahmen!$B$12/2)</f>
        <v/>
      </c>
      <c r="Y11" s="63">
        <f>X11*(1+Annahmen!$B$12)+Y9*(1+Annahmen!$B$12/2)</f>
        <v/>
      </c>
      <c r="Z11" s="63">
        <f>Y11*(1+Annahmen!$B$12)+Z9*(1+Annahmen!$B$12/2)</f>
        <v/>
      </c>
      <c r="AA11" s="63">
        <f>Z11*(1+Annahmen!$B$12)+AA9*(1+Annahmen!$B$12/2)</f>
        <v/>
      </c>
    </row>
    <row r="12" ht="15" customHeight="1" s="40">
      <c r="A12" s="46" t="inlineStr">
        <is>
          <t>Fondsvermögen in % BIP</t>
        </is>
      </c>
      <c r="C12" s="64">
        <f>C11/C18</f>
        <v/>
      </c>
      <c r="D12" s="64">
        <f>D11/D18</f>
        <v/>
      </c>
      <c r="E12" s="64">
        <f>E11/E18</f>
        <v/>
      </c>
      <c r="F12" s="64">
        <f>F11/F18</f>
        <v/>
      </c>
      <c r="G12" s="64">
        <f>G11/G18</f>
        <v/>
      </c>
      <c r="H12" s="64">
        <f>H11/H18</f>
        <v/>
      </c>
      <c r="I12" s="64">
        <f>I11/I18</f>
        <v/>
      </c>
      <c r="J12" s="64">
        <f>J11/J18</f>
        <v/>
      </c>
      <c r="K12" s="64">
        <f>K11/K18</f>
        <v/>
      </c>
      <c r="L12" s="64">
        <f>L11/L18</f>
        <v/>
      </c>
      <c r="M12" s="64">
        <f>M11/M18</f>
        <v/>
      </c>
      <c r="N12" s="64">
        <f>N11/N18</f>
        <v/>
      </c>
      <c r="O12" s="64">
        <f>O11/O18</f>
        <v/>
      </c>
      <c r="P12" s="64">
        <f>P11/P18</f>
        <v/>
      </c>
      <c r="Q12" s="64">
        <f>Q11/Q18</f>
        <v/>
      </c>
      <c r="R12" s="64">
        <f>R11/R18</f>
        <v/>
      </c>
      <c r="S12" s="64">
        <f>S11/S18</f>
        <v/>
      </c>
      <c r="T12" s="64">
        <f>T11/T18</f>
        <v/>
      </c>
      <c r="U12" s="64">
        <f>U11/U18</f>
        <v/>
      </c>
      <c r="V12" s="64">
        <f>V11/V18</f>
        <v/>
      </c>
      <c r="W12" s="64">
        <f>W11/W18</f>
        <v/>
      </c>
      <c r="X12" s="64">
        <f>X11/X18</f>
        <v/>
      </c>
      <c r="Y12" s="64">
        <f>Y11/Y18</f>
        <v/>
      </c>
      <c r="Z12" s="64">
        <f>Z11/Z18</f>
        <v/>
      </c>
      <c r="AA12" s="64">
        <f>AA11/AA18</f>
        <v/>
      </c>
    </row>
    <row r="13" ht="15" customHeight="1" s="40">
      <c r="A13" s="43" t="inlineStr">
        <is>
          <t>WAGNISKAPITAL-ALLOKATION</t>
        </is>
      </c>
    </row>
    <row r="14" ht="15" customHeight="1" s="40">
      <c r="A14" s="46" t="inlineStr">
        <is>
          <t>VC-Zielquote</t>
        </is>
      </c>
      <c r="C14" s="61">
        <f>MIN(Annahmen!$B$13,Annahmen!$B$13*C5/Annahmen!$B$14)</f>
        <v/>
      </c>
      <c r="D14" s="61">
        <f>MIN(Annahmen!$B$13,Annahmen!$B$13*D5/Annahmen!$B$14)</f>
        <v/>
      </c>
      <c r="E14" s="61">
        <f>MIN(Annahmen!$B$13,Annahmen!$B$13*E5/Annahmen!$B$14)</f>
        <v/>
      </c>
      <c r="F14" s="61">
        <f>MIN(Annahmen!$B$13,Annahmen!$B$13*F5/Annahmen!$B$14)</f>
        <v/>
      </c>
      <c r="G14" s="61">
        <f>MIN(Annahmen!$B$13,Annahmen!$B$13*G5/Annahmen!$B$14)</f>
        <v/>
      </c>
      <c r="H14" s="61">
        <f>MIN(Annahmen!$B$13,Annahmen!$B$13*H5/Annahmen!$B$14)</f>
        <v/>
      </c>
      <c r="I14" s="61">
        <f>MIN(Annahmen!$B$13,Annahmen!$B$13*I5/Annahmen!$B$14)</f>
        <v/>
      </c>
      <c r="J14" s="61">
        <f>MIN(Annahmen!$B$13,Annahmen!$B$13*J5/Annahmen!$B$14)</f>
        <v/>
      </c>
      <c r="K14" s="61">
        <f>MIN(Annahmen!$B$13,Annahmen!$B$13*K5/Annahmen!$B$14)</f>
        <v/>
      </c>
      <c r="L14" s="61">
        <f>MIN(Annahmen!$B$13,Annahmen!$B$13*L5/Annahmen!$B$14)</f>
        <v/>
      </c>
      <c r="M14" s="61">
        <f>MIN(Annahmen!$B$13,Annahmen!$B$13*M5/Annahmen!$B$14)</f>
        <v/>
      </c>
      <c r="N14" s="61">
        <f>MIN(Annahmen!$B$13,Annahmen!$B$13*N5/Annahmen!$B$14)</f>
        <v/>
      </c>
      <c r="O14" s="61">
        <f>MIN(Annahmen!$B$13,Annahmen!$B$13*O5/Annahmen!$B$14)</f>
        <v/>
      </c>
      <c r="P14" s="61">
        <f>MIN(Annahmen!$B$13,Annahmen!$B$13*P5/Annahmen!$B$14)</f>
        <v/>
      </c>
      <c r="Q14" s="61">
        <f>MIN(Annahmen!$B$13,Annahmen!$B$13*Q5/Annahmen!$B$14)</f>
        <v/>
      </c>
      <c r="R14" s="61">
        <f>MIN(Annahmen!$B$13,Annahmen!$B$13*R5/Annahmen!$B$14)</f>
        <v/>
      </c>
      <c r="S14" s="61">
        <f>MIN(Annahmen!$B$13,Annahmen!$B$13*S5/Annahmen!$B$14)</f>
        <v/>
      </c>
      <c r="T14" s="61">
        <f>MIN(Annahmen!$B$13,Annahmen!$B$13*T5/Annahmen!$B$14)</f>
        <v/>
      </c>
      <c r="U14" s="61">
        <f>MIN(Annahmen!$B$13,Annahmen!$B$13*U5/Annahmen!$B$14)</f>
        <v/>
      </c>
      <c r="V14" s="61">
        <f>MIN(Annahmen!$B$13,Annahmen!$B$13*V5/Annahmen!$B$14)</f>
        <v/>
      </c>
      <c r="W14" s="61">
        <f>MIN(Annahmen!$B$13,Annahmen!$B$13*W5/Annahmen!$B$14)</f>
        <v/>
      </c>
      <c r="X14" s="61">
        <f>MIN(Annahmen!$B$13,Annahmen!$B$13*X5/Annahmen!$B$14)</f>
        <v/>
      </c>
      <c r="Y14" s="61">
        <f>MIN(Annahmen!$B$13,Annahmen!$B$13*Y5/Annahmen!$B$14)</f>
        <v/>
      </c>
      <c r="Z14" s="61">
        <f>MIN(Annahmen!$B$13,Annahmen!$B$13*Z5/Annahmen!$B$14)</f>
        <v/>
      </c>
      <c r="AA14" s="61">
        <f>MIN(Annahmen!$B$13,Annahmen!$B$13*AA5/Annahmen!$B$14)</f>
        <v/>
      </c>
    </row>
    <row r="15" ht="15" customHeight="1" s="40">
      <c r="A15" s="45" t="inlineStr">
        <is>
          <t>VC-Zielallokation</t>
        </is>
      </c>
      <c r="C15" s="62">
        <f>C11*C14</f>
        <v/>
      </c>
      <c r="D15" s="62">
        <f>D11*D14</f>
        <v/>
      </c>
      <c r="E15" s="62">
        <f>E11*E14</f>
        <v/>
      </c>
      <c r="F15" s="62">
        <f>F11*F14</f>
        <v/>
      </c>
      <c r="G15" s="62">
        <f>G11*G14</f>
        <v/>
      </c>
      <c r="H15" s="62">
        <f>H11*H14</f>
        <v/>
      </c>
      <c r="I15" s="62">
        <f>I11*I14</f>
        <v/>
      </c>
      <c r="J15" s="62">
        <f>J11*J14</f>
        <v/>
      </c>
      <c r="K15" s="62">
        <f>K11*K14</f>
        <v/>
      </c>
      <c r="L15" s="62">
        <f>L11*L14</f>
        <v/>
      </c>
      <c r="M15" s="62">
        <f>M11*M14</f>
        <v/>
      </c>
      <c r="N15" s="62">
        <f>N11*N14</f>
        <v/>
      </c>
      <c r="O15" s="62">
        <f>O11*O14</f>
        <v/>
      </c>
      <c r="P15" s="62">
        <f>P11*P14</f>
        <v/>
      </c>
      <c r="Q15" s="62">
        <f>Q11*Q14</f>
        <v/>
      </c>
      <c r="R15" s="62">
        <f>R11*R14</f>
        <v/>
      </c>
      <c r="S15" s="62">
        <f>S11*S14</f>
        <v/>
      </c>
      <c r="T15" s="62">
        <f>T11*T14</f>
        <v/>
      </c>
      <c r="U15" s="62">
        <f>U11*U14</f>
        <v/>
      </c>
      <c r="V15" s="62">
        <f>V11*V14</f>
        <v/>
      </c>
      <c r="W15" s="62">
        <f>W11*W14</f>
        <v/>
      </c>
      <c r="X15" s="62">
        <f>X11*X14</f>
        <v/>
      </c>
      <c r="Y15" s="62">
        <f>Y11*Y14</f>
        <v/>
      </c>
      <c r="Z15" s="62">
        <f>Z11*Z14</f>
        <v/>
      </c>
      <c r="AA15" s="62">
        <f>AA11*AA14</f>
        <v/>
      </c>
    </row>
    <row r="16" ht="15" customHeight="1" s="40">
      <c r="A16" s="45" t="inlineStr">
        <is>
          <t>VC-Neuzusagen p.a.</t>
        </is>
      </c>
      <c r="C16" s="62">
        <f>C15</f>
        <v/>
      </c>
      <c r="D16" s="62">
        <f>MAX(0,D15-C15*(1-Annahmen!$B$15))</f>
        <v/>
      </c>
      <c r="E16" s="62">
        <f>MAX(0,E15-D15*(1-Annahmen!$B$15))</f>
        <v/>
      </c>
      <c r="F16" s="62">
        <f>MAX(0,F15-E15*(1-Annahmen!$B$15))</f>
        <v/>
      </c>
      <c r="G16" s="62">
        <f>MAX(0,G15-F15*(1-Annahmen!$B$15))</f>
        <v/>
      </c>
      <c r="H16" s="62">
        <f>MAX(0,H15-G15*(1-Annahmen!$B$15))</f>
        <v/>
      </c>
      <c r="I16" s="62">
        <f>MAX(0,I15-H15*(1-Annahmen!$B$15))</f>
        <v/>
      </c>
      <c r="J16" s="62">
        <f>MAX(0,J15-I15*(1-Annahmen!$B$15))</f>
        <v/>
      </c>
      <c r="K16" s="62">
        <f>MAX(0,K15-J15*(1-Annahmen!$B$15))</f>
        <v/>
      </c>
      <c r="L16" s="62">
        <f>MAX(0,L15-K15*(1-Annahmen!$B$15))</f>
        <v/>
      </c>
      <c r="M16" s="62">
        <f>MAX(0,M15-L15*(1-Annahmen!$B$15))</f>
        <v/>
      </c>
      <c r="N16" s="62">
        <f>MAX(0,N15-M15*(1-Annahmen!$B$15))</f>
        <v/>
      </c>
      <c r="O16" s="62">
        <f>MAX(0,O15-N15*(1-Annahmen!$B$15))</f>
        <v/>
      </c>
      <c r="P16" s="62">
        <f>MAX(0,P15-O15*(1-Annahmen!$B$15))</f>
        <v/>
      </c>
      <c r="Q16" s="62">
        <f>MAX(0,Q15-P15*(1-Annahmen!$B$15))</f>
        <v/>
      </c>
      <c r="R16" s="62">
        <f>MAX(0,R15-Q15*(1-Annahmen!$B$15))</f>
        <v/>
      </c>
      <c r="S16" s="62">
        <f>MAX(0,S15-R15*(1-Annahmen!$B$15))</f>
        <v/>
      </c>
      <c r="T16" s="62">
        <f>MAX(0,T15-S15*(1-Annahmen!$B$15))</f>
        <v/>
      </c>
      <c r="U16" s="62">
        <f>MAX(0,U15-T15*(1-Annahmen!$B$15))</f>
        <v/>
      </c>
      <c r="V16" s="62">
        <f>MAX(0,V15-U15*(1-Annahmen!$B$15))</f>
        <v/>
      </c>
      <c r="W16" s="62">
        <f>MAX(0,W15-V15*(1-Annahmen!$B$15))</f>
        <v/>
      </c>
      <c r="X16" s="62">
        <f>MAX(0,X15-W15*(1-Annahmen!$B$15))</f>
        <v/>
      </c>
      <c r="Y16" s="62">
        <f>MAX(0,Y15-X15*(1-Annahmen!$B$15))</f>
        <v/>
      </c>
      <c r="Z16" s="62">
        <f>MAX(0,Z15-Y15*(1-Annahmen!$B$15))</f>
        <v/>
      </c>
      <c r="AA16" s="62">
        <f>MAX(0,AA15-Z15*(1-Annahmen!$B$15))</f>
        <v/>
      </c>
    </row>
    <row r="18" ht="15" customHeight="1" s="40">
      <c r="A18" s="46" t="inlineStr">
        <is>
          <t>nachrichtlich: BIP nominal</t>
        </is>
      </c>
      <c r="C18" s="50">
        <f>Annahmen!$B$19</f>
        <v/>
      </c>
      <c r="D18" s="56">
        <f>C18*(1+Annahmen!$B$18)</f>
        <v/>
      </c>
      <c r="E18" s="56">
        <f>D18*(1+Annahmen!$B$18)</f>
        <v/>
      </c>
      <c r="F18" s="56">
        <f>E18*(1+Annahmen!$B$18)</f>
        <v/>
      </c>
      <c r="G18" s="56">
        <f>F18*(1+Annahmen!$B$18)</f>
        <v/>
      </c>
      <c r="H18" s="56">
        <f>G18*(1+Annahmen!$B$18)</f>
        <v/>
      </c>
      <c r="I18" s="56">
        <f>H18*(1+Annahmen!$B$18)</f>
        <v/>
      </c>
      <c r="J18" s="56">
        <f>I18*(1+Annahmen!$B$18)</f>
        <v/>
      </c>
      <c r="K18" s="56">
        <f>J18*(1+Annahmen!$B$18)</f>
        <v/>
      </c>
      <c r="L18" s="56">
        <f>K18*(1+Annahmen!$B$18)</f>
        <v/>
      </c>
      <c r="M18" s="56">
        <f>L18*(1+Annahmen!$B$18)</f>
        <v/>
      </c>
      <c r="N18" s="56">
        <f>M18*(1+Annahmen!$B$18)</f>
        <v/>
      </c>
      <c r="O18" s="56">
        <f>N18*(1+Annahmen!$B$18)</f>
        <v/>
      </c>
      <c r="P18" s="56">
        <f>O18*(1+Annahmen!$B$18)</f>
        <v/>
      </c>
      <c r="Q18" s="56">
        <f>P18*(1+Annahmen!$B$18)</f>
        <v/>
      </c>
      <c r="R18" s="56">
        <f>Q18*(1+Annahmen!$B$18)</f>
        <v/>
      </c>
      <c r="S18" s="56">
        <f>R18*(1+Annahmen!$B$18)</f>
        <v/>
      </c>
      <c r="T18" s="56">
        <f>S18*(1+Annahmen!$B$18)</f>
        <v/>
      </c>
      <c r="U18" s="56">
        <f>T18*(1+Annahmen!$B$18)</f>
        <v/>
      </c>
      <c r="V18" s="56">
        <f>U18*(1+Annahmen!$B$18)</f>
        <v/>
      </c>
      <c r="W18" s="56">
        <f>V18*(1+Annahmen!$B$18)</f>
        <v/>
      </c>
      <c r="X18" s="56">
        <f>W18*(1+Annahmen!$B$18)</f>
        <v/>
      </c>
      <c r="Y18" s="56">
        <f>X18*(1+Annahmen!$B$18)</f>
        <v/>
      </c>
      <c r="Z18" s="56">
        <f>Y18*(1+Annahmen!$B$18)</f>
        <v/>
      </c>
      <c r="AA18" s="56">
        <f>Z18*(1+Annahmen!$B$18)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3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39" min="1" max="1"/>
    <col width="14" customWidth="1" style="39" min="2" max="5"/>
  </cols>
  <sheetData>
    <row r="1" ht="17.35" customHeight="1" s="40">
      <c r="A1" s="41" t="inlineStr">
        <is>
          <t>SENSITIVITÄT</t>
        </is>
      </c>
    </row>
    <row r="2" ht="30" customHeight="1" s="40">
      <c r="A2" s="52" t="inlineStr">
        <is>
          <t>Geschlossene Formel (wachsende Annuität), voller Beitragssatz ab Jahr 1, ohne Halbjahreskonvention — daher oberhalb der Jahresprojektion mit Phase-in. Zweck: Robustheit der These, nicht Punktprognose.</t>
        </is>
      </c>
    </row>
    <row r="3" ht="15" customHeight="1" s="40"/>
    <row r="5" ht="15" customHeight="1" s="40">
      <c r="A5" s="43" t="inlineStr">
        <is>
          <t>Tabelle 1: Fondsvermögen (Mrd. €) — Rendite × Laufzeit</t>
        </is>
      </c>
    </row>
    <row r="6" ht="15" customHeight="1" s="40">
      <c r="A6" s="45" t="inlineStr">
        <is>
          <t>Rendite p.a. \ Jahre</t>
        </is>
      </c>
      <c r="B6" s="65" t="n">
        <v>10</v>
      </c>
      <c r="C6" s="65" t="n">
        <v>15</v>
      </c>
      <c r="D6" s="65" t="n">
        <v>20</v>
      </c>
    </row>
    <row r="7" ht="15" customHeight="1" s="40">
      <c r="A7" s="55" t="n">
        <v>0.04</v>
      </c>
      <c r="B7" s="66">
        <f>(Annahmen!$B$7*Annahmen!$B$10)*(((1+$A7)^B$6-(1+Annahmen!$B$8)^B$6)/($A7-Annahmen!$B$8))</f>
        <v/>
      </c>
      <c r="C7" s="66">
        <f>(Annahmen!$B$7*Annahmen!$B$10)*(((1+$A7)^C$6-(1+Annahmen!$B$8)^C$6)/($A7-Annahmen!$B$8))</f>
        <v/>
      </c>
      <c r="D7" s="66">
        <f>(Annahmen!$B$7*Annahmen!$B$10)*(((1+$A7)^D$6-(1+Annahmen!$B$8)^D$6)/($A7-Annahmen!$B$8))</f>
        <v/>
      </c>
    </row>
    <row r="8" ht="15" customHeight="1" s="40">
      <c r="A8" s="55" t="n">
        <v>0.045</v>
      </c>
      <c r="B8" s="66">
        <f>(Annahmen!$B$7*Annahmen!$B$10)*(((1+$A8)^B$6-(1+Annahmen!$B$8)^B$6)/($A8-Annahmen!$B$8))</f>
        <v/>
      </c>
      <c r="C8" s="66">
        <f>(Annahmen!$B$7*Annahmen!$B$10)*(((1+$A8)^C$6-(1+Annahmen!$B$8)^C$6)/($A8-Annahmen!$B$8))</f>
        <v/>
      </c>
      <c r="D8" s="66">
        <f>(Annahmen!$B$7*Annahmen!$B$10)*(((1+$A8)^D$6-(1+Annahmen!$B$8)^D$6)/($A8-Annahmen!$B$8))</f>
        <v/>
      </c>
    </row>
    <row r="9" ht="15" customHeight="1" s="40">
      <c r="A9" s="55" t="n">
        <v>0.05</v>
      </c>
      <c r="B9" s="66">
        <f>(Annahmen!$B$7*Annahmen!$B$10)*(((1+$A9)^B$6-(1+Annahmen!$B$8)^B$6)/($A9-Annahmen!$B$8))</f>
        <v/>
      </c>
      <c r="C9" s="66">
        <f>(Annahmen!$B$7*Annahmen!$B$10)*(((1+$A9)^C$6-(1+Annahmen!$B$8)^C$6)/($A9-Annahmen!$B$8))</f>
        <v/>
      </c>
      <c r="D9" s="66">
        <f>(Annahmen!$B$7*Annahmen!$B$10)*(((1+$A9)^D$6-(1+Annahmen!$B$8)^D$6)/($A9-Annahmen!$B$8))</f>
        <v/>
      </c>
    </row>
    <row r="10" ht="15" customHeight="1" s="40">
      <c r="A10" s="55" t="n">
        <v>0.055</v>
      </c>
      <c r="B10" s="67">
        <f>(Annahmen!$B$7*Annahmen!$B$10)*(((1+$A10)^B$6-(1+Annahmen!$B$8)^B$6)/($A10-Annahmen!$B$8))</f>
        <v/>
      </c>
      <c r="C10" s="67">
        <f>(Annahmen!$B$7*Annahmen!$B$10)*(((1+$A10)^C$6-(1+Annahmen!$B$8)^C$6)/($A10-Annahmen!$B$8))</f>
        <v/>
      </c>
      <c r="D10" s="67">
        <f>(Annahmen!$B$7*Annahmen!$B$10)*(((1+$A10)^D$6-(1+Annahmen!$B$8)^D$6)/($A10-Annahmen!$B$8))</f>
        <v/>
      </c>
    </row>
    <row r="11" ht="15" customHeight="1" s="40">
      <c r="A11" s="55" t="n">
        <v>0.06</v>
      </c>
      <c r="B11" s="66">
        <f>(Annahmen!$B$7*Annahmen!$B$10)*(((1+$A11)^B$6-(1+Annahmen!$B$8)^B$6)/($A11-Annahmen!$B$8))</f>
        <v/>
      </c>
      <c r="C11" s="66">
        <f>(Annahmen!$B$7*Annahmen!$B$10)*(((1+$A11)^C$6-(1+Annahmen!$B$8)^C$6)/($A11-Annahmen!$B$8))</f>
        <v/>
      </c>
      <c r="D11" s="66">
        <f>(Annahmen!$B$7*Annahmen!$B$10)*(((1+$A11)^D$6-(1+Annahmen!$B$8)^D$6)/($A11-Annahmen!$B$8))</f>
        <v/>
      </c>
    </row>
    <row r="12" ht="15" customHeight="1" s="40">
      <c r="A12" s="55" t="n">
        <v>0.065</v>
      </c>
      <c r="B12" s="66">
        <f>(Annahmen!$B$7*Annahmen!$B$10)*(((1+$A12)^B$6-(1+Annahmen!$B$8)^B$6)/($A12-Annahmen!$B$8))</f>
        <v/>
      </c>
      <c r="C12" s="66">
        <f>(Annahmen!$B$7*Annahmen!$B$10)*(((1+$A12)^C$6-(1+Annahmen!$B$8)^C$6)/($A12-Annahmen!$B$8))</f>
        <v/>
      </c>
      <c r="D12" s="66">
        <f>(Annahmen!$B$7*Annahmen!$B$10)*(((1+$A12)^D$6-(1+Annahmen!$B$8)^D$6)/($A12-Annahmen!$B$8))</f>
        <v/>
      </c>
    </row>
    <row r="13" ht="15" customHeight="1" s="40">
      <c r="A13" s="55" t="n">
        <v>0.07000000000000001</v>
      </c>
      <c r="B13" s="66">
        <f>(Annahmen!$B$7*Annahmen!$B$10)*(((1+$A13)^B$6-(1+Annahmen!$B$8)^B$6)/($A13-Annahmen!$B$8))</f>
        <v/>
      </c>
      <c r="C13" s="66">
        <f>(Annahmen!$B$7*Annahmen!$B$10)*(((1+$A13)^C$6-(1+Annahmen!$B$8)^C$6)/($A13-Annahmen!$B$8))</f>
        <v/>
      </c>
      <c r="D13" s="66">
        <f>(Annahmen!$B$7*Annahmen!$B$10)*(((1+$A13)^D$6-(1+Annahmen!$B$8)^D$6)/($A13-Annahmen!$B$8))</f>
        <v/>
      </c>
    </row>
    <row r="16" ht="15" customHeight="1" s="40">
      <c r="A16" s="43" t="inlineStr">
        <is>
          <t>Tabelle 2: VC-Allokation nach 10 Jahren (Mrd. €) — Rendite × VC-Quote</t>
        </is>
      </c>
    </row>
    <row r="17" ht="15" customHeight="1" s="40">
      <c r="A17" s="45" t="inlineStr">
        <is>
          <t>Rendite p.a. \ Quote</t>
        </is>
      </c>
      <c r="B17" s="68" t="n">
        <v>0.01</v>
      </c>
      <c r="C17" s="68" t="n">
        <v>0.02</v>
      </c>
      <c r="D17" s="68" t="n">
        <v>0.03</v>
      </c>
      <c r="E17" s="68" t="n">
        <v>0.04</v>
      </c>
    </row>
    <row r="18" ht="15" customHeight="1" s="40">
      <c r="A18" s="55" t="n">
        <v>0.04</v>
      </c>
      <c r="B18" s="69">
        <f>(Annahmen!$B$7*Annahmen!$B$10)*(((1+$A18)^10-(1+Annahmen!$B$8)^10)/($A18-Annahmen!$B$8))*B$17</f>
        <v/>
      </c>
      <c r="C18" s="69">
        <f>(Annahmen!$B$7*Annahmen!$B$10)*(((1+$A18)^10-(1+Annahmen!$B$8)^10)/($A18-Annahmen!$B$8))*C$17</f>
        <v/>
      </c>
      <c r="D18" s="69">
        <f>(Annahmen!$B$7*Annahmen!$B$10)*(((1+$A18)^10-(1+Annahmen!$B$8)^10)/($A18-Annahmen!$B$8))*D$17</f>
        <v/>
      </c>
      <c r="E18" s="69">
        <f>(Annahmen!$B$7*Annahmen!$B$10)*(((1+$A18)^10-(1+Annahmen!$B$8)^10)/($A18-Annahmen!$B$8))*E$17</f>
        <v/>
      </c>
    </row>
    <row r="19" ht="15" customHeight="1" s="40">
      <c r="A19" s="55" t="n">
        <v>0.045</v>
      </c>
      <c r="B19" s="69">
        <f>(Annahmen!$B$7*Annahmen!$B$10)*(((1+$A19)^10-(1+Annahmen!$B$8)^10)/($A19-Annahmen!$B$8))*B$17</f>
        <v/>
      </c>
      <c r="C19" s="69">
        <f>(Annahmen!$B$7*Annahmen!$B$10)*(((1+$A19)^10-(1+Annahmen!$B$8)^10)/($A19-Annahmen!$B$8))*C$17</f>
        <v/>
      </c>
      <c r="D19" s="69">
        <f>(Annahmen!$B$7*Annahmen!$B$10)*(((1+$A19)^10-(1+Annahmen!$B$8)^10)/($A19-Annahmen!$B$8))*D$17</f>
        <v/>
      </c>
      <c r="E19" s="69">
        <f>(Annahmen!$B$7*Annahmen!$B$10)*(((1+$A19)^10-(1+Annahmen!$B$8)^10)/($A19-Annahmen!$B$8))*E$17</f>
        <v/>
      </c>
    </row>
    <row r="20" ht="15" customHeight="1" s="40">
      <c r="A20" s="55" t="n">
        <v>0.05</v>
      </c>
      <c r="B20" s="69">
        <f>(Annahmen!$B$7*Annahmen!$B$10)*(((1+$A20)^10-(1+Annahmen!$B$8)^10)/($A20-Annahmen!$B$8))*B$17</f>
        <v/>
      </c>
      <c r="C20" s="69">
        <f>(Annahmen!$B$7*Annahmen!$B$10)*(((1+$A20)^10-(1+Annahmen!$B$8)^10)/($A20-Annahmen!$B$8))*C$17</f>
        <v/>
      </c>
      <c r="D20" s="69">
        <f>(Annahmen!$B$7*Annahmen!$B$10)*(((1+$A20)^10-(1+Annahmen!$B$8)^10)/($A20-Annahmen!$B$8))*D$17</f>
        <v/>
      </c>
      <c r="E20" s="69">
        <f>(Annahmen!$B$7*Annahmen!$B$10)*(((1+$A20)^10-(1+Annahmen!$B$8)^10)/($A20-Annahmen!$B$8))*E$17</f>
        <v/>
      </c>
    </row>
    <row r="21" ht="15" customHeight="1" s="40">
      <c r="A21" s="55" t="n">
        <v>0.055</v>
      </c>
      <c r="B21" s="69">
        <f>(Annahmen!$B$7*Annahmen!$B$10)*(((1+$A21)^10-(1+Annahmen!$B$8)^10)/($A21-Annahmen!$B$8))*B$17</f>
        <v/>
      </c>
      <c r="C21" s="70">
        <f>(Annahmen!$B$7*Annahmen!$B$10)*(((1+$A21)^10-(1+Annahmen!$B$8)^10)/($A21-Annahmen!$B$8))*C$17</f>
        <v/>
      </c>
      <c r="D21" s="69">
        <f>(Annahmen!$B$7*Annahmen!$B$10)*(((1+$A21)^10-(1+Annahmen!$B$8)^10)/($A21-Annahmen!$B$8))*D$17</f>
        <v/>
      </c>
      <c r="E21" s="69">
        <f>(Annahmen!$B$7*Annahmen!$B$10)*(((1+$A21)^10-(1+Annahmen!$B$8)^10)/($A21-Annahmen!$B$8))*E$17</f>
        <v/>
      </c>
    </row>
    <row r="22" ht="15" customHeight="1" s="40">
      <c r="A22" s="55" t="n">
        <v>0.06</v>
      </c>
      <c r="B22" s="69">
        <f>(Annahmen!$B$7*Annahmen!$B$10)*(((1+$A22)^10-(1+Annahmen!$B$8)^10)/($A22-Annahmen!$B$8))*B$17</f>
        <v/>
      </c>
      <c r="C22" s="69">
        <f>(Annahmen!$B$7*Annahmen!$B$10)*(((1+$A22)^10-(1+Annahmen!$B$8)^10)/($A22-Annahmen!$B$8))*C$17</f>
        <v/>
      </c>
      <c r="D22" s="69">
        <f>(Annahmen!$B$7*Annahmen!$B$10)*(((1+$A22)^10-(1+Annahmen!$B$8)^10)/($A22-Annahmen!$B$8))*D$17</f>
        <v/>
      </c>
      <c r="E22" s="69">
        <f>(Annahmen!$B$7*Annahmen!$B$10)*(((1+$A22)^10-(1+Annahmen!$B$8)^10)/($A22-Annahmen!$B$8))*E$17</f>
        <v/>
      </c>
    </row>
    <row r="23" ht="15" customHeight="1" s="40">
      <c r="A23" s="55" t="n">
        <v>0.065</v>
      </c>
      <c r="B23" s="69">
        <f>(Annahmen!$B$7*Annahmen!$B$10)*(((1+$A23)^10-(1+Annahmen!$B$8)^10)/($A23-Annahmen!$B$8))*B$17</f>
        <v/>
      </c>
      <c r="C23" s="69">
        <f>(Annahmen!$B$7*Annahmen!$B$10)*(((1+$A23)^10-(1+Annahmen!$B$8)^10)/($A23-Annahmen!$B$8))*C$17</f>
        <v/>
      </c>
      <c r="D23" s="69">
        <f>(Annahmen!$B$7*Annahmen!$B$10)*(((1+$A23)^10-(1+Annahmen!$B$8)^10)/($A23-Annahmen!$B$8))*D$17</f>
        <v/>
      </c>
      <c r="E23" s="69">
        <f>(Annahmen!$B$7*Annahmen!$B$10)*(((1+$A23)^10-(1+Annahmen!$B$8)^10)/($A23-Annahmen!$B$8))*E$17</f>
        <v/>
      </c>
    </row>
    <row r="24" ht="15" customHeight="1" s="40">
      <c r="A24" s="55" t="n">
        <v>0.07000000000000001</v>
      </c>
      <c r="B24" s="69">
        <f>(Annahmen!$B$7*Annahmen!$B$10)*(((1+$A24)^10-(1+Annahmen!$B$8)^10)/($A24-Annahmen!$B$8))*B$17</f>
        <v/>
      </c>
      <c r="C24" s="69">
        <f>(Annahmen!$B$7*Annahmen!$B$10)*(((1+$A24)^10-(1+Annahmen!$B$8)^10)/($A24-Annahmen!$B$8))*C$17</f>
        <v/>
      </c>
      <c r="D24" s="69">
        <f>(Annahmen!$B$7*Annahmen!$B$10)*(((1+$A24)^10-(1+Annahmen!$B$8)^10)/($A24-Annahmen!$B$8))*D$17</f>
        <v/>
      </c>
      <c r="E24" s="69">
        <f>(Annahmen!$B$7*Annahmen!$B$10)*(((1+$A24)^10-(1+Annahmen!$B$8)^10)/($A24-Annahmen!$B$8))*E$17</f>
        <v/>
      </c>
    </row>
    <row r="26" ht="15" customHeight="1" s="40">
      <c r="A26" s="52" t="inlineStr">
        <is>
          <t>Kernbotschaft: Selbst im pessimistischsten Feld (4,0 % Rendite, 1 % Quote) übersteigt die Allokation nach 10 Jahren das Jahrzehnt-Gesamtbudget des Zukunftsfonds (10 Mrd. €) — als wachsender Bestand.</t>
        </is>
      </c>
    </row>
    <row r="27" ht="15" customHeight="1" s="40"/>
    <row r="28">
      <c r="A28" t="inlineStr">
        <is>
          <t>Tabelle 3: Lohnwachstum-Sensitivität — Fondsvermögen und VC-Allokation nach 10 Jahren (Mrd. €), Rendite 5,5 % nominal. Gleiche Konvention wie Tabelle 1/2.</t>
        </is>
      </c>
    </row>
    <row r="29">
      <c r="A29" t="inlineStr">
        <is>
          <t>Lohnwachstum p.a. (nominal)</t>
        </is>
      </c>
      <c r="B29" t="inlineStr">
        <is>
          <t>Entgelte 2028 (Mrd. €)</t>
        </is>
      </c>
      <c r="C29" t="inlineStr">
        <is>
          <t>Fondsvermögen n. 10 J.</t>
        </is>
      </c>
      <c r="D29" t="inlineStr">
        <is>
          <t>VC-Allokation (2 %-Quote)</t>
        </is>
      </c>
    </row>
    <row r="30">
      <c r="A30" s="71" t="n">
        <v>0.02</v>
      </c>
      <c r="B30" s="72">
        <f>Annahmen!$B$6*(1+$A30)^5</f>
        <v/>
      </c>
      <c r="C30" s="72">
        <f>(B30*Annahmen!$B$10)*(((1+Annahmen!$B$12)^10-(1+$A30)^10)/(Annahmen!$B$12-$A30))</f>
        <v/>
      </c>
      <c r="D30" s="72">
        <f>C30*Annahmen!$B$13</f>
        <v/>
      </c>
    </row>
    <row r="31">
      <c r="A31" s="71" t="n">
        <v>0.03</v>
      </c>
      <c r="B31" s="72">
        <f>Annahmen!$B$6*(1+$A31)^5</f>
        <v/>
      </c>
      <c r="C31" s="72">
        <f>(B31*Annahmen!$B$10)*(((1+Annahmen!$B$12)^10-(1+$A31)^10)/(Annahmen!$B$12-$A31))</f>
        <v/>
      </c>
      <c r="D31" s="72">
        <f>C31*Annahmen!$B$13</f>
        <v/>
      </c>
    </row>
    <row r="32">
      <c r="A32" s="71" t="n">
        <v>0.04</v>
      </c>
      <c r="B32" s="72">
        <f>Annahmen!$B$6*(1+$A32)^5</f>
        <v/>
      </c>
      <c r="C32" s="72">
        <f>(B32*Annahmen!$B$10)*(((1+Annahmen!$B$12)^10-(1+$A32)^10)/(Annahmen!$B$12-$A32))</f>
        <v/>
      </c>
      <c r="D32" s="72">
        <f>C32*Annahmen!$B$13</f>
        <v/>
      </c>
    </row>
    <row r="33">
      <c r="A33" t="inlineStr">
        <is>
          <t>Lesart: Auch bei nur 2,0 % Lohnwachstum nominal ändert sich die Größenordnung nicht — die These hängt nicht an der Lohnannahme.</t>
        </is>
      </c>
    </row>
  </sheetData>
  <mergeCells count="2">
    <mergeCell ref="A26:E27"/>
    <mergeCell ref="A2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0" customWidth="1" style="39" min="1" max="1"/>
    <col width="20" customWidth="1" style="39" min="2" max="2"/>
    <col width="12" customWidth="1" style="39" min="3" max="3"/>
    <col width="72" customWidth="1" style="39" min="4" max="4"/>
  </cols>
  <sheetData>
    <row r="1" ht="17.35" customHeight="1" s="40">
      <c r="A1" s="41" t="inlineStr">
        <is>
          <t>VERGLEICHSWERTE — verifiziert Juli 2026</t>
        </is>
      </c>
    </row>
    <row r="2" ht="15" customHeight="1" s="40">
      <c r="A2" s="42" t="inlineStr">
        <is>
          <t>Alle Werte gegen Primär- oder hochwertige Sekundärquellen geprüft (Fundstellen: Blatt 'Quellen'). Euro-Umrechnungen gerundet.</t>
        </is>
      </c>
    </row>
    <row r="3" ht="15" customHeight="1" s="40">
      <c r="A3" s="53" t="inlineStr">
        <is>
          <t>Referenz</t>
        </is>
      </c>
      <c r="B3" s="53" t="inlineStr">
        <is>
          <t>Volumen</t>
        </is>
      </c>
      <c r="C3" s="53" t="inlineStr">
        <is>
          <t>Stand</t>
        </is>
      </c>
      <c r="D3" s="53" t="inlineStr">
        <is>
          <t>Quelle / Kommentar</t>
        </is>
      </c>
    </row>
    <row r="4" ht="42" customHeight="1" s="40">
      <c r="A4" s="73" t="inlineStr">
        <is>
          <t>Schwedisches Prämienpensionssystem (gesamt)</t>
        </is>
      </c>
      <c r="B4" s="74" t="inlineStr">
        <is>
          <t>SEK 2.829 Mrd. ≈ 250 Mrd. €</t>
        </is>
      </c>
      <c r="C4" s="75" t="inlineStr">
        <is>
          <t>31.10.2025</t>
        </is>
      </c>
      <c r="D4" s="76" t="inlineStr">
        <is>
          <t>Schwed. Finanzministerium, 'The Swedish pension system in brief' (11/2025): ~45 % des BIP. 2,5 %-Beitrag seit 2000 — das erklärte Vorbild der Kommission.</t>
        </is>
      </c>
    </row>
    <row r="5" ht="42" customHeight="1" s="40">
      <c r="A5" s="73" t="inlineStr">
        <is>
          <t>davon AP7 (Default-Fonds Såfa)</t>
        </is>
      </c>
      <c r="B5" s="74" t="inlineStr">
        <is>
          <t>SEK 1.400 Mrd. ≈ 127 Mrd. €</t>
        </is>
      </c>
      <c r="C5" s="75" t="inlineStr">
        <is>
          <t>2025</t>
        </is>
      </c>
      <c r="D5" s="76" t="inlineStr">
        <is>
          <t>AP7 Annual Report 2025 / schwed. Finanzministerium. Ø-Rendite Såfa 13,3 % p.a. 2010–2023; seit Mandat 2023 bis 20 % Alternatives erlaubt, PE-Ausbau geplant.</t>
        </is>
      </c>
    </row>
    <row r="6" ht="42" customHeight="1" s="40">
      <c r="A6" s="73" t="inlineStr">
        <is>
          <t>AP-Pufferfonds 1–4, Schweden</t>
        </is>
      </c>
      <c r="B6" s="74" t="inlineStr">
        <is>
          <t>SEK 2.130 Mrd. ≈ 190 Mrd. €</t>
        </is>
      </c>
      <c r="C6" s="75" t="inlineStr">
        <is>
          <t>Ende 2024</t>
        </is>
      </c>
      <c r="D6" s="76" t="inlineStr">
        <is>
          <t>Schwed. Finanzministerium: ~33 % des BIP; investieren seit 1996 in Private Equity — Präzedenz für Alternatives in staatlicher Rente.</t>
        </is>
      </c>
    </row>
    <row r="7" ht="42" customHeight="1" s="40">
      <c r="A7" s="73" t="inlineStr">
        <is>
          <t>ATP, Dänemark</t>
        </is>
      </c>
      <c r="B7" s="74" t="inlineStr">
        <is>
          <t>DKK 694 Mrd. ≈ 93 Mrd. €</t>
        </is>
      </c>
      <c r="C7" s="75" t="inlineStr">
        <is>
          <t>Ende 2025</t>
        </is>
      </c>
      <c r="D7" s="76" t="inlineStr">
        <is>
          <t>ATP-Jahreszahlen 2025: verpflichtende Kapitalsäule, 5,8 Mio. Mitglieder; eigener PE-Arm (ATP PEP); Gesamtkosten 0,31 % p.a. — Beleg für Kostendisziplin trotz Alternatives.</t>
        </is>
      </c>
    </row>
    <row r="8" ht="42" customHeight="1" s="40">
      <c r="A8" s="73" t="inlineStr">
        <is>
          <t>KENFO, Deutschland</t>
        </is>
      </c>
      <c r="B8" s="74" t="inlineStr">
        <is>
          <t>≈ 25,6 Mrd. €</t>
        </is>
      </c>
      <c r="C8" s="75" t="inlineStr">
        <is>
          <t>2025</t>
        </is>
      </c>
      <c r="D8" s="76" t="inlineStr">
        <is>
          <t>WiWo (06/2026)/KENFO: einziger dt. Staatsfonds; Zielallokation 30 % illiquide Anlagen (PE, Infrastruktur, Immobilien, Private Debt); erwarteter Verwalter der Kapitalrente. Rendite 9,4 % (2024), 11,1 % (2023).</t>
        </is>
      </c>
    </row>
    <row r="9" ht="42" customHeight="1" s="40">
      <c r="A9" s="73" t="inlineStr">
        <is>
          <t>Zukunftsfonds des Bundes</t>
        </is>
      </c>
      <c r="B9" s="74" t="inlineStr">
        <is>
          <t>10 Mrd. € (2021–2030)</t>
        </is>
      </c>
      <c r="C9" s="75" t="inlineStr">
        <is>
          <t>lfd.</t>
        </is>
      </c>
      <c r="D9" s="76" t="inlineStr">
        <is>
          <t>KfW: seit 12/2025 fortgeführt/aufgestockt im Deutschlandfonds (30 Mrd. € öffentl. Mittel/Garantien, Ziel 130 Mrd. € Gesamtinvestitionen). KfW Capital investierte 2025 363 Mio. € treuhänderisch via Zukunftsfonds.</t>
        </is>
      </c>
    </row>
    <row r="10" ht="42" customHeight="1" s="40">
      <c r="A10" s="73" t="inlineStr">
        <is>
          <t>Norwegischer Staatsfonds (GPFG)</t>
        </is>
      </c>
      <c r="B10" s="74" t="inlineStr">
        <is>
          <t>NOK 21.270 Mrd. ≈ 1.800 Mrd. €</t>
        </is>
      </c>
      <c r="C10" s="75" t="inlineStr">
        <is>
          <t>Ende 2025</t>
        </is>
      </c>
      <c r="D10" s="76" t="inlineStr">
        <is>
          <t>NBIM/norskpetroleum.no: &gt; 2 Bio. US-$, ~4× norwegisches BIP — Größenordnung staatlicher Kapitalanlage.</t>
        </is>
      </c>
    </row>
    <row r="11" ht="42" customHeight="1" s="40">
      <c r="A11" s="73" t="inlineStr">
        <is>
          <t>VC-Investitionen Deutschland p.a.</t>
        </is>
      </c>
      <c r="B11" s="74" t="inlineStr">
        <is>
          <t>7,2 Mrd. € (2025)</t>
        </is>
      </c>
      <c r="C11" s="75" t="inlineStr">
        <is>
          <t>2025</t>
        </is>
      </c>
      <c r="D11" s="76" t="inlineStr">
        <is>
          <t>KfW-Venture-Capital-Dashboard (PM 08.01.2026): 2024: 7,4 Mrd. €; 2023: 7,1 Mrd. €. Nur ~1/4 des Kapitals dt. Start-ups 2020–24 von inländischen Investoren; 31 % aus den USA.</t>
        </is>
      </c>
    </row>
    <row r="12" ht="42" customHeight="1" s="40">
      <c r="A12" s="73" t="inlineStr">
        <is>
          <t>VC-Dealvolumen Europa p.a.</t>
        </is>
      </c>
      <c r="B12" s="74" t="inlineStr">
        <is>
          <t>≈ 62–66 Mrd. €</t>
        </is>
      </c>
      <c r="C12" s="75" t="inlineStr">
        <is>
          <t>2024/2025</t>
        </is>
      </c>
      <c r="D12" s="76" t="inlineStr">
        <is>
          <t>PitchBook European Venture Report: 2023: 62,3; 2024: 62,1; 2025 projiziert ~66 Mrd. €.</t>
        </is>
      </c>
    </row>
    <row r="13" ht="42" customHeight="1" s="40">
      <c r="A13" s="73" t="inlineStr">
        <is>
          <t>VC-FUNDRAISING Europa 2025</t>
        </is>
      </c>
      <c r="B13" s="74" t="inlineStr">
        <is>
          <t>≈ 11 Mrd. € — Dekadentief</t>
        </is>
      </c>
      <c r="C13" s="75" t="inlineStr">
        <is>
          <t>2025</t>
        </is>
      </c>
      <c r="D13" s="76" t="inlineStr">
        <is>
          <t>PitchBook (Q3 2025): niedrigster Jahreswert des Jahrzehnts; Invested-to-Raised-Ratio 5,2x. DAS Kernargument: Europa investiert Kapital, das es nicht nachfüllt.</t>
        </is>
      </c>
    </row>
    <row r="14" ht="42" customHeight="1" s="40">
      <c r="A14" s="73" t="inlineStr">
        <is>
          <t>USA: VC-Fundraising um die ERISA-Reform</t>
        </is>
      </c>
      <c r="B14" s="74" t="inlineStr">
        <is>
          <t>39 Mio. $ (1977) → 570 Mio. $ (1978)</t>
        </is>
      </c>
      <c r="C14" s="75" t="inlineStr">
        <is>
          <t>hist.</t>
        </is>
      </c>
      <c r="D14" s="76" t="inlineStr">
        <is>
          <t>Time/Venture Capital Institute (zit. n. Wikipedia 'History of PE&amp;VC'); 1975: nur 10 Mio. $. Wissenschaftlich: Gompers/Lerner (NBER w6906). Binnen eines Jahrzehnts stellten Pensionsfonds fast die Hälfte des US-VC-Kapitals (NPR/Gompers).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C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39" min="1" max="1"/>
    <col width="52" customWidth="1" style="39" min="2" max="2"/>
    <col width="90" customWidth="1" style="39" min="3" max="3"/>
  </cols>
  <sheetData>
    <row r="1" ht="17.35" customHeight="1" s="40">
      <c r="B1" s="41" t="inlineStr">
        <is>
          <t>QUELLEN — geprüft Juli 2026</t>
        </is>
      </c>
    </row>
    <row r="3" ht="33.75" customHeight="1" s="40">
      <c r="A3" s="77" t="n">
        <v>1</v>
      </c>
      <c r="B3" s="78" t="inlineStr">
        <is>
          <t>Bericht der Alterssicherungskommission (übergeben 23.06.2026)</t>
        </is>
      </c>
      <c r="C3" s="52" t="inlineStr">
        <is>
          <t>PDF: https://www.bundesregierung.de/resource/blob/975228/2444780/0fcbf810775351c64007ee6cb2c7cad9/2026-06-24-bericht-alterssicherungskommission-data.pdf — 76 S., 33 Empfehlungen; Kapitalrente = Empfehlung 28. FAQ: https://www.bundesregierung.de/breg-de/aktuelles/faq-rentenreform-2444534</t>
        </is>
      </c>
    </row>
    <row r="4" ht="33.75" customHeight="1" s="40">
      <c r="A4" s="77" t="n">
        <v>2</v>
      </c>
      <c r="B4" s="78" t="inlineStr">
        <is>
          <t>BMAS: Rentenkommission 2026 (Überblick)</t>
        </is>
      </c>
      <c r="C4" s="52" t="inlineStr">
        <is>
          <t>https://www.bmas.de/DE/Soziales/Rente-und-Altersvorsorge/Rentenreform-2025/Rentenkommission-2026/rentenkommission-2026.html — Übergabe 23.06.2026; Bas: möglichst vollständige Umsetzung</t>
        </is>
      </c>
    </row>
    <row r="5" ht="33.75" customHeight="1" s="40">
      <c r="A5" s="77" t="n">
        <v>3</v>
      </c>
      <c r="B5" s="78" t="inlineStr">
        <is>
          <t>Rentenversicherungsbericht 2024, Bundesregierung</t>
        </is>
      </c>
      <c r="C5" s="52" t="inlineStr">
        <is>
          <t>https://sozialbeirat.de/media/rentenversicherungsbericht-2024.pdf — Beitragseinnahmen 289,7 Mrd. € (2023), Gesamteinnahmen 381,2 Mrd. €</t>
        </is>
      </c>
    </row>
    <row r="6" ht="33.75" customHeight="1" s="40">
      <c r="A6" s="77" t="n">
        <v>4</v>
      </c>
      <c r="B6" s="78" t="inlineStr">
        <is>
          <t>BMAS, PM Rentenversicherungsbericht 2025 (19.11.2025)</t>
        </is>
      </c>
      <c r="C6" s="52" t="inlineStr">
        <is>
          <t>https://www.bmas.de/DE/Service/Presse/Pressemitteilungen/2025/bundeskabinett-beschliesst-rentenversicherungsbericht-2025.html — Beitragssatz 18,6 % bis 2027; Renten +45 % bis 2039 (Ø 2,8 % p.a.)</t>
        </is>
      </c>
    </row>
    <row r="7" ht="33.75" customHeight="1" s="40">
      <c r="A7" s="77" t="n">
        <v>5</v>
      </c>
      <c r="B7" s="78" t="inlineStr">
        <is>
          <t>Destatis, PM Nr. 017 (15.01.2026)</t>
        </is>
      </c>
      <c r="C7" s="52" t="inlineStr">
        <is>
          <t>https://www.destatis.de/DE/Presse/Pressemitteilungen/2026/01/PD26_017_811.html — BIP 2025 real +0,2 %, nominal +3,3 %; BIP 2025 jeweilige Preise 4.469,9 Mrd. € (Fachserie 18)</t>
        </is>
      </c>
    </row>
    <row r="8" ht="33.75" customHeight="1" s="40">
      <c r="A8" s="77" t="n">
        <v>6</v>
      </c>
      <c r="B8" s="78" t="inlineStr">
        <is>
          <t>Schwedisches Finanzministerium: The Swedish pension system in brief (27.11.2025)</t>
        </is>
      </c>
      <c r="C8" s="52" t="inlineStr">
        <is>
          <t>https://www.government.se/contentassets/c40b1026b5f64cba929445d37d0b3f12/the-swedish-pension-system-in-brief.pdf — Prämienpension SEK 2.829 Mrd. (10/2025); AP7 SEK 1.400 Mrd.; Pufferfonds SEK 2.130 Mrd., PE seit 1996</t>
        </is>
      </c>
    </row>
    <row r="9" ht="33.75" customHeight="1" s="40">
      <c r="A9" s="77" t="n">
        <v>7</v>
      </c>
      <c r="B9" s="78" t="inlineStr">
        <is>
          <t>AP7 Annual and Sustainability Report 2025</t>
        </is>
      </c>
      <c r="C9" s="52" t="inlineStr">
        <is>
          <t>https://www.ap7.se/app/uploads/2026/03/ap7-annual-report-2025.pdf</t>
        </is>
      </c>
    </row>
    <row r="10" ht="33.75" customHeight="1" s="40">
      <c r="A10" s="77" t="n">
        <v>8</v>
      </c>
      <c r="B10" s="78" t="inlineStr">
        <is>
          <t>ATP Jahreszahlen 2025</t>
        </is>
      </c>
      <c r="C10" s="52" t="inlineStr">
        <is>
          <t>https://www.atp.dk/en/node/5483 — DKK 694 Mrd. (Ende 2025), Rendite Investmentportfolio 19,5 % (2025), Ø 10,4 % seit 2008; Kosten 0,31 %</t>
        </is>
      </c>
    </row>
    <row r="11" ht="33.75" customHeight="1" s="40">
      <c r="A11" s="77" t="n">
        <v>9</v>
      </c>
      <c r="B11" s="78" t="inlineStr">
        <is>
          <t>KENFO / WiWo: 'Der stille Staatsfondsmanager' (06/2026)</t>
        </is>
      </c>
      <c r="C11" s="52" t="inlineStr">
        <is>
          <t>https://www.wiwo.de/finanzen/boerse/rentenreform-der-stille-staatsfondsmanager/100234885.html — Vermögen ~25,6 Mrd. €; Renditen; erwartete Verwalterrolle. Ergänzend: https://www.kenfo.de</t>
        </is>
      </c>
    </row>
    <row r="12" ht="33.75" customHeight="1" s="40">
      <c r="A12" s="77" t="n">
        <v>10</v>
      </c>
      <c r="B12" s="78" t="inlineStr">
        <is>
          <t>KfW Research: VC-Dashboard 2025 (PM 08.01.2026)</t>
        </is>
      </c>
      <c r="C12" s="52" t="inlineStr">
        <is>
          <t>https://www.kfw.de/%C3%9Cber-die-KfW/Newsroom/Aktuelles/Pressemitteilungen-Details_876672.html — 7,2 Mrd. € (2025); Dossier: https://www.kfw.de/%C3%9Cber-die-KfW/KfW-Research/Dossier-Venture-Capital.html</t>
        </is>
      </c>
    </row>
    <row r="13" ht="33.75" customHeight="1" s="40">
      <c r="A13" s="77" t="n">
        <v>11</v>
      </c>
      <c r="B13" s="78" t="inlineStr">
        <is>
          <t>KfW Capital Bilanz 2025 / Deutschlandfonds</t>
        </is>
      </c>
      <c r="C13" s="52" t="inlineStr">
        <is>
          <t>https://www.kfw.de/%C3%9Cber-die-KfW/Newsroom/Aktuelles/Pressemitteilungen-Details_882944.html und Pressemitteilungen-Details_875456.html (Deutschlandfonds-Start 12/2025)</t>
        </is>
      </c>
    </row>
    <row r="14" ht="33.75" customHeight="1" s="40">
      <c r="A14" s="77" t="n">
        <v>12</v>
      </c>
      <c r="B14" s="78" t="inlineStr">
        <is>
          <t>PitchBook: European Venture Reports 2025/Q1 2026</t>
        </is>
      </c>
      <c r="C14" s="52" t="inlineStr">
        <is>
          <t>https://pitchbook.com/news/reports/2025-annual-european-venture-report — Dealvolumen ~62–66 Mrd. €; Fundraising 2025 ~11 Mrd. € (Dekadentief), Invested/Raised 5,2x</t>
        </is>
      </c>
    </row>
    <row r="15" ht="33.75" customHeight="1" s="40">
      <c r="A15" s="77" t="n">
        <v>13</v>
      </c>
      <c r="B15" s="78" t="inlineStr">
        <is>
          <t>US DoL: ERISA 'Prudent Man' Rule, 29 CFR 2550.404a-1 (1979)</t>
        </is>
      </c>
      <c r="C15" s="52" t="inlineStr">
        <is>
          <t>https://www.ecfr.gov/current/title-29/subtitle-B/chapter-XXV/subchapter-F/part-2550/section-2550.404a-1</t>
        </is>
      </c>
    </row>
    <row r="16" ht="33.75" customHeight="1" s="40">
      <c r="A16" s="77" t="n">
        <v>14</v>
      </c>
      <c r="B16" s="78" t="inlineStr">
        <is>
          <t>Gompers/Lerner (NBER): What Drives Venture Capital Fundraising?</t>
        </is>
      </c>
      <c r="C16" s="52" t="inlineStr">
        <is>
          <t>https://www.nber.org/system/files/working_papers/w6906/w6906.pdf — Wirkung der Prudent-Man-Klarstellung; ergänzend w6846 (Innovationswirkung)</t>
        </is>
      </c>
    </row>
    <row r="17" ht="33.75" customHeight="1" s="40">
      <c r="A17" s="77" t="n">
        <v>15</v>
      </c>
      <c r="B17" s="78" t="inlineStr">
        <is>
          <t>Historische US-Fundraising-Zahlen</t>
        </is>
      </c>
      <c r="C17" s="52" t="inlineStr">
        <is>
          <t>Wikipedia 'History of private equity and venture capital' (Time 1978: 39 Mio. $ 1977 → 570 Mio. $ 1978; Venture Capital Institute: 10 Mio. $ 1975); Gompers, Newcomen Essay 1994</t>
        </is>
      </c>
    </row>
    <row r="18" ht="33.75" customHeight="1" s="40">
      <c r="A18" s="77" t="n">
        <v>16</v>
      </c>
      <c r="B18" s="78" t="inlineStr">
        <is>
          <t>NBIM / norskpetroleum.no: GPFG</t>
        </is>
      </c>
      <c r="C18" s="52" t="inlineStr">
        <is>
          <t>https://www.norskpetroleum.no/en/economy/management-of-revenues/ — NOK 21.300 Mrd. (Ende 2025)</t>
        </is>
      </c>
    </row>
    <row r="19" ht="33.75" customHeight="1" s="40">
      <c r="A19" s="77" t="n">
        <v>17</v>
      </c>
      <c r="B19" s="78" t="inlineStr">
        <is>
          <t>ECB (05/2026): Exploring the investor landscape for venture capital</t>
        </is>
      </c>
      <c r="C19" s="52" t="inlineStr">
        <is>
          <t>https://www.ecb.europa.eu/press/fie/box/html/ecb.fiebox202605_04.en.html — LP-Struktur EU vs. USA; Kontext Spar- und Investitionsunion</t>
        </is>
      </c>
    </row>
    <row r="20">
      <c r="A20" t="n">
        <v>17</v>
      </c>
      <c r="B20" t="inlineStr">
        <is>
          <t>Rentenversicherungsbericht 2025, BMAS (PDF)</t>
        </is>
      </c>
      <c r="C20" t="inlineStr">
        <is>
          <t>https://www.bmas.de/SharedDocs/Downloads/DE/Rente/rentenversicherungsbericht-2025.pdf — Lohnannahmen: +3,6 % (2025), +3,3 % (2026), +3,2 % (2027), +2,9 % bis 2030, danach +3,0 % p.a. nominal. VERIFIZIERT 07/2026. Anker für Annahmen!B8.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2026-07-05T20:50:22Z</dcterms:created>
  <dcterms:modified xmlns:dcterms="http://purl.org/dc/terms/" xmlns:xsi="http://www.w3.org/2001/XMLSchema-instance" xsi:type="dcterms:W3CDTF">2026-07-09T07:26:49Z</dcterms:modified>
  <cp:revision>1</cp:revision>
</cp:coreProperties>
</file>